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esktop\sezione SERVIZI EROGATI\ripubblicati con la colonna totale\"/>
    </mc:Choice>
  </mc:AlternateContent>
  <xr:revisionPtr revIDLastSave="0" documentId="13_ncr:1_{1B089633-DC7D-484E-8080-90B2EF11E015}" xr6:coauthVersionLast="45" xr6:coauthVersionMax="45" xr10:uidLastSave="{00000000-0000-0000-0000-000000000000}"/>
  <bookViews>
    <workbookView xWindow="-108" yWindow="-108" windowWidth="23256" windowHeight="12576" activeTab="3" xr2:uid="{00000000-000D-0000-FFFF-FFFF00000000}"/>
  </bookViews>
  <sheets>
    <sheet name="spazzamento e verde pubblico" sheetId="4" r:id="rId1"/>
    <sheet name="racconta differenz. e impianti" sheetId="5" r:id="rId2"/>
    <sheet name="pulizia" sheetId="1" r:id="rId3"/>
    <sheet name="totale conto economico" sheetId="6" r:id="rId4"/>
  </sheets>
  <externalReferences>
    <externalReference r:id="rId5"/>
  </externalReferences>
  <calcPr calcId="191029"/>
</workbook>
</file>

<file path=xl/calcChain.xml><?xml version="1.0" encoding="utf-8"?>
<calcChain xmlns="http://schemas.openxmlformats.org/spreadsheetml/2006/main">
  <c r="D50" i="6" l="1"/>
  <c r="D39" i="6"/>
  <c r="D33" i="6"/>
  <c r="D32" i="6"/>
  <c r="D28" i="6"/>
  <c r="D27" i="6"/>
  <c r="D26" i="6"/>
  <c r="D25" i="6"/>
  <c r="D24" i="6"/>
  <c r="D22" i="6"/>
  <c r="D21" i="6"/>
  <c r="D20" i="6"/>
  <c r="D16" i="6"/>
  <c r="D15" i="6"/>
  <c r="D12" i="6"/>
  <c r="D10" i="6"/>
  <c r="D8" i="6"/>
  <c r="D6" i="6"/>
  <c r="D37" i="6" l="1"/>
  <c r="D9" i="6"/>
  <c r="D30" i="6" l="1"/>
  <c r="D40" i="6" l="1"/>
  <c r="C45" i="5"/>
  <c r="C45" i="4"/>
  <c r="D46" i="5"/>
  <c r="D45" i="5" s="1"/>
  <c r="C38" i="5"/>
  <c r="C32" i="5"/>
  <c r="C28" i="5"/>
  <c r="C21" i="5"/>
  <c r="C12" i="5"/>
  <c r="D41" i="6" l="1"/>
  <c r="C12" i="4"/>
  <c r="C12" i="1"/>
  <c r="D12" i="1"/>
  <c r="H22" i="5"/>
  <c r="G49" i="4"/>
  <c r="G39" i="4"/>
  <c r="G10" i="4"/>
  <c r="F7" i="4"/>
  <c r="D55" i="6" l="1"/>
  <c r="G40" i="4"/>
  <c r="G54" i="4" s="1"/>
  <c r="G57" i="4" s="1"/>
  <c r="C9" i="5"/>
  <c r="C7" i="5"/>
  <c r="H7" i="5" s="1"/>
  <c r="C9" i="4"/>
  <c r="F9" i="4" s="1"/>
  <c r="D9" i="5"/>
  <c r="D59" i="6" l="1"/>
  <c r="D31" i="5"/>
  <c r="C26" i="5" l="1"/>
  <c r="C25" i="5"/>
  <c r="C28" i="4"/>
  <c r="H47" i="5" l="1"/>
  <c r="H45" i="5"/>
  <c r="H38" i="5"/>
  <c r="H21" i="5"/>
  <c r="H15" i="5"/>
  <c r="H12" i="5"/>
  <c r="C9" i="1"/>
  <c r="E9" i="5"/>
  <c r="H9" i="5" s="1"/>
  <c r="H28" i="5" l="1"/>
  <c r="H24" i="5" l="1"/>
  <c r="C39" i="5"/>
  <c r="H26" i="5" l="1"/>
  <c r="H25" i="5"/>
  <c r="H16" i="5"/>
  <c r="H32" i="5"/>
  <c r="C10" i="5" l="1"/>
  <c r="E10" i="5"/>
  <c r="D10" i="5"/>
  <c r="I16" i="1" l="1"/>
  <c r="I15" i="1"/>
  <c r="F21" i="4" l="1"/>
  <c r="C49" i="5" l="1"/>
  <c r="G49" i="5"/>
  <c r="F49" i="5"/>
  <c r="E49" i="5"/>
  <c r="D49" i="5"/>
  <c r="H49" i="5" l="1"/>
  <c r="H49" i="1"/>
  <c r="G49" i="1"/>
  <c r="F49" i="1"/>
  <c r="E49" i="1"/>
  <c r="D49" i="1"/>
  <c r="C49" i="1"/>
  <c r="H44" i="5"/>
  <c r="F44" i="4"/>
  <c r="D39" i="5" l="1"/>
  <c r="H43" i="5"/>
  <c r="F35" i="4"/>
  <c r="I9" i="1"/>
  <c r="F25" i="4" l="1"/>
  <c r="E39" i="4" l="1"/>
  <c r="D39" i="4"/>
  <c r="C39" i="4"/>
  <c r="J49" i="1" l="1"/>
  <c r="J39" i="1"/>
  <c r="J10" i="1"/>
  <c r="J40" i="1" l="1"/>
  <c r="J54" i="1" s="1"/>
  <c r="J57" i="1" s="1"/>
  <c r="H56" i="5" l="1"/>
  <c r="F38" i="4" l="1"/>
  <c r="F31" i="4"/>
  <c r="F22" i="4"/>
  <c r="F16" i="4"/>
  <c r="G10" i="5"/>
  <c r="G39" i="5"/>
  <c r="F10" i="5"/>
  <c r="G40" i="5" l="1"/>
  <c r="F12" i="4" l="1"/>
  <c r="I12" i="1" l="1"/>
  <c r="I48" i="1"/>
  <c r="I47" i="1"/>
  <c r="I46" i="1"/>
  <c r="I45" i="1"/>
  <c r="I44" i="1"/>
  <c r="I43" i="1"/>
  <c r="I42" i="1"/>
  <c r="I38" i="1"/>
  <c r="I37" i="1"/>
  <c r="I36" i="1"/>
  <c r="I35" i="1"/>
  <c r="I34" i="1"/>
  <c r="I33" i="1"/>
  <c r="I31" i="1"/>
  <c r="I30" i="1"/>
  <c r="I27" i="1"/>
  <c r="I26" i="1"/>
  <c r="I25" i="1"/>
  <c r="I24" i="1"/>
  <c r="I23" i="1"/>
  <c r="I22" i="1"/>
  <c r="I20" i="1"/>
  <c r="I19" i="1"/>
  <c r="I18" i="1"/>
  <c r="I17" i="1"/>
  <c r="I14" i="1"/>
  <c r="I28" i="1" l="1"/>
  <c r="F28" i="4" l="1"/>
  <c r="E39" i="5"/>
  <c r="H31" i="5"/>
  <c r="I7" i="1"/>
  <c r="I32" i="1" l="1"/>
  <c r="F32" i="4"/>
  <c r="I49" i="1"/>
  <c r="H46" i="5"/>
  <c r="E49" i="4"/>
  <c r="D49" i="4"/>
  <c r="F47" i="4"/>
  <c r="G39" i="1"/>
  <c r="F39" i="1"/>
  <c r="C39" i="1"/>
  <c r="I21" i="1" l="1"/>
  <c r="F45" i="4"/>
  <c r="C49" i="4"/>
  <c r="F46" i="4"/>
  <c r="H20" i="5"/>
  <c r="F49" i="4" l="1"/>
  <c r="I13" i="1"/>
  <c r="I39" i="1" s="1"/>
  <c r="H37" i="5"/>
  <c r="H36" i="5"/>
  <c r="H35" i="5"/>
  <c r="H34" i="5"/>
  <c r="H33" i="5"/>
  <c r="H30" i="5"/>
  <c r="H27" i="5"/>
  <c r="H19" i="5"/>
  <c r="H18" i="5"/>
  <c r="H17" i="5"/>
  <c r="H14" i="5"/>
  <c r="F37" i="4"/>
  <c r="F36" i="4"/>
  <c r="F34" i="4"/>
  <c r="F33" i="4"/>
  <c r="F30" i="4"/>
  <c r="F27" i="4"/>
  <c r="F26" i="4"/>
  <c r="F24" i="4"/>
  <c r="F14" i="4"/>
  <c r="F19" i="4"/>
  <c r="F18" i="4"/>
  <c r="F17" i="4"/>
  <c r="H41" i="5"/>
  <c r="F39" i="4" l="1"/>
  <c r="F20" i="4"/>
  <c r="F39" i="5"/>
  <c r="H39" i="5" s="1"/>
  <c r="F15" i="4"/>
  <c r="H39" i="1"/>
  <c r="E39" i="1"/>
  <c r="D39" i="1"/>
  <c r="H10" i="1"/>
  <c r="G10" i="1"/>
  <c r="G40" i="1" s="1"/>
  <c r="G54" i="1" s="1"/>
  <c r="G57" i="1" s="1"/>
  <c r="F10" i="1"/>
  <c r="F40" i="1" s="1"/>
  <c r="F54" i="1" s="1"/>
  <c r="F57" i="1" s="1"/>
  <c r="E10" i="1"/>
  <c r="D10" i="1"/>
  <c r="C10" i="1"/>
  <c r="C40" i="1" s="1"/>
  <c r="C54" i="1" s="1"/>
  <c r="C57" i="1" s="1"/>
  <c r="I10" i="1"/>
  <c r="I40" i="1" s="1"/>
  <c r="I54" i="1" s="1"/>
  <c r="I57" i="1" s="1"/>
  <c r="F8" i="4"/>
  <c r="E10" i="4"/>
  <c r="D10" i="4"/>
  <c r="C10" i="4"/>
  <c r="H8" i="5"/>
  <c r="H10" i="5" s="1"/>
  <c r="H40" i="5" l="1"/>
  <c r="F10" i="4"/>
  <c r="F40" i="4" s="1"/>
  <c r="F54" i="4" s="1"/>
  <c r="G54" i="5"/>
  <c r="G57" i="5" s="1"/>
  <c r="H40" i="1"/>
  <c r="H54" i="1" s="1"/>
  <c r="H57" i="1" s="1"/>
  <c r="F40" i="5"/>
  <c r="D40" i="4"/>
  <c r="D54" i="4" s="1"/>
  <c r="D57" i="4" s="1"/>
  <c r="E40" i="1"/>
  <c r="E54" i="1" s="1"/>
  <c r="E57" i="1" s="1"/>
  <c r="E40" i="5"/>
  <c r="D40" i="5"/>
  <c r="D54" i="5" s="1"/>
  <c r="D57" i="5" s="1"/>
  <c r="E40" i="4"/>
  <c r="E54" i="4" s="1"/>
  <c r="E57" i="4" s="1"/>
  <c r="C40" i="4"/>
  <c r="C54" i="4" s="1"/>
  <c r="C57" i="4" s="1"/>
  <c r="D40" i="1"/>
  <c r="D54" i="1" s="1"/>
  <c r="D57" i="1" s="1"/>
  <c r="E54" i="5" l="1"/>
  <c r="E57" i="5" s="1"/>
  <c r="F54" i="5"/>
  <c r="F57" i="5" s="1"/>
  <c r="C40" i="5"/>
  <c r="C54" i="5" s="1"/>
  <c r="C57" i="5" s="1"/>
  <c r="H54" i="5"/>
  <c r="H57" i="5" s="1"/>
  <c r="F57" i="4" l="1"/>
</calcChain>
</file>

<file path=xl/sharedStrings.xml><?xml version="1.0" encoding="utf-8"?>
<sst xmlns="http://schemas.openxmlformats.org/spreadsheetml/2006/main" count="245" uniqueCount="88">
  <si>
    <t>TOTALE</t>
  </si>
  <si>
    <t>A) Valore della produzione</t>
  </si>
  <si>
    <t>1) Ricavi delle vendite e delle prestazioni</t>
  </si>
  <si>
    <t>5) Altri ricavi e proventi:</t>
  </si>
  <si>
    <t>- vari</t>
  </si>
  <si>
    <t>Totale valore della produzione</t>
  </si>
  <si>
    <t>B) Costi della produzione</t>
  </si>
  <si>
    <t>6) Per materie prime, sussidiarie, di consumo e di merci</t>
  </si>
  <si>
    <t>7) Per servizi</t>
  </si>
  <si>
    <t xml:space="preserve">a) Lavori affidati a terzi </t>
  </si>
  <si>
    <t>c) Consulenze e incarichi affidati a professionisti</t>
  </si>
  <si>
    <t xml:space="preserve">d) Attività promozionali </t>
  </si>
  <si>
    <t xml:space="preserve">e) Formazione </t>
  </si>
  <si>
    <t>f) Spese per trasferte</t>
  </si>
  <si>
    <t xml:space="preserve">h) Altri </t>
  </si>
  <si>
    <t>8) Per godimento di beni di terzi</t>
  </si>
  <si>
    <t>9) Per il personale</t>
  </si>
  <si>
    <t>a) Salari e stipendi</t>
  </si>
  <si>
    <t>b) Oneri sociali</t>
  </si>
  <si>
    <t>c) Trattamento di fine rapporto</t>
  </si>
  <si>
    <t>d) Trattamento di quiescenza e simili</t>
  </si>
  <si>
    <t>e) Altri costi</t>
  </si>
  <si>
    <t>10) Ammortamenti e svalutazioni</t>
  </si>
  <si>
    <t>a) Ammortamento delle immobilizzazioni immateriali</t>
  </si>
  <si>
    <t>b) Ammortamento delle immobilizzazioni materiali</t>
  </si>
  <si>
    <t>c) Altre svalutazioni delle immobilizzazioni</t>
  </si>
  <si>
    <t>d) Svalutazioni dei crediti compresi nell'attivo circolante e delle disponibilità liquide</t>
  </si>
  <si>
    <t>11) Variazioni delle rimanenze di materie prime,  sussidiarie, di consumo e merci</t>
  </si>
  <si>
    <t>12) Accantonamento per rischi</t>
  </si>
  <si>
    <t>13) Altri accantonamenti</t>
  </si>
  <si>
    <t>14) Oneri diversi di gestione</t>
  </si>
  <si>
    <t>Totale costi della produzione</t>
  </si>
  <si>
    <t>Differenza tra valore e costi di produzione (A-B)</t>
  </si>
  <si>
    <t>C) Proventi e oneri finanziari</t>
  </si>
  <si>
    <t>15) Proventi da partecipazioni:</t>
  </si>
  <si>
    <t>-altri</t>
  </si>
  <si>
    <t>16) Altri proventi finanziari:</t>
  </si>
  <si>
    <t>17) Interessi e altri oneri finanziari:</t>
  </si>
  <si>
    <t>-di conto corrente</t>
  </si>
  <si>
    <t>-su mutui</t>
  </si>
  <si>
    <t>17-bis) Utili e Perdite su cambi</t>
  </si>
  <si>
    <t>Totale proventi e oneri finanziari</t>
  </si>
  <si>
    <t>D) Rettifiche di valore di attività finanziarie</t>
  </si>
  <si>
    <t>18) Rivalutazioni:</t>
  </si>
  <si>
    <t>19) Svalutazioni:</t>
  </si>
  <si>
    <t>Totale rettifiche di valore di attività finanziarie</t>
  </si>
  <si>
    <t>Risultato prima delle imposte (A-B±C±D±E)</t>
  </si>
  <si>
    <t>22) Imposte sul reddito dell'esercizio, correnti, differite e anticipate</t>
  </si>
  <si>
    <t>a) Imposte correnti</t>
  </si>
  <si>
    <t>23) Utile (Perdita) dell'esercizio</t>
  </si>
  <si>
    <t>SALERNO PULITA SPA</t>
  </si>
  <si>
    <t xml:space="preserve">b) Manutenzione e riparazione macchine, impianti, automezzi etc. </t>
  </si>
  <si>
    <t>11) Variazioni delle rimanenze di materie prime, sussidiarie,di consumo e merci</t>
  </si>
  <si>
    <t>Vs Budget 2019</t>
  </si>
  <si>
    <t>Centro 1007 Racc. Diff.</t>
  </si>
  <si>
    <t>Centro 1008 Imp. Compostaggio</t>
  </si>
  <si>
    <t>Centro 1009 Ostaglio</t>
  </si>
  <si>
    <t>Centro 1012 Ingombranti</t>
  </si>
  <si>
    <t>Centro 1013-1014 Isole Ecologiche</t>
  </si>
  <si>
    <t>Centro 1005 Centro Agroal.</t>
  </si>
  <si>
    <t>Centro 1006 (Cimitero)</t>
  </si>
  <si>
    <t>Centro 2001 - 2009 Pulizie Comunali e Traslochi</t>
  </si>
  <si>
    <t>Centro 2003 Pulizia Bagni</t>
  </si>
  <si>
    <t>Centro 2004 Stadio Arechi</t>
  </si>
  <si>
    <t>Centro 2005 Asili nido</t>
  </si>
  <si>
    <t>Centro 2007 Teatri Comunale</t>
  </si>
  <si>
    <t>Centro 2008 Stadio Vestuti e palestre</t>
  </si>
  <si>
    <t>g) Spese per automezzi (assicurazione)</t>
  </si>
  <si>
    <t>g) Spese per automezzi (assicurazione )</t>
  </si>
  <si>
    <t>g) Spese per automezzi (assicurazioni )</t>
  </si>
  <si>
    <t xml:space="preserve"> </t>
  </si>
  <si>
    <t>TOTALE SPAZZAMENTO</t>
  </si>
  <si>
    <t>ANNO 2024</t>
  </si>
  <si>
    <t>Conto Economico suddiviso per centri di costo analitici: Settore Pulizia</t>
  </si>
  <si>
    <t>Conto Economico suddiviso per centri di costo analitici: Settore Raccolta Differenziata e Impianti</t>
  </si>
  <si>
    <t>Conto Economico suddiviso per centri di costo analitici: Spazzamento e Verde Pubblico</t>
  </si>
  <si>
    <t>Centro 1001-1002-1003-1004 (Spazzamento)</t>
  </si>
  <si>
    <t>TOTALE
VERDE PUBBLICO</t>
  </si>
  <si>
    <t>2) Variazione delle rimanenze di prodotti in lavorazione, semilavorati e finiti</t>
  </si>
  <si>
    <t>*5) Altri ricavi e proventi:  straordinari NON IMPUTATI A CENTRO DI COSTI</t>
  </si>
  <si>
    <t>g) Spese per automezzi(assicurazioni ecc.)</t>
  </si>
  <si>
    <t>Totale</t>
  </si>
  <si>
    <t>d) Sval. dei crediti compresi nell'attivo circ. e delle disponib.liquide</t>
  </si>
  <si>
    <t>*16) Altri proventi finanziari:</t>
  </si>
  <si>
    <t>*</t>
  </si>
  <si>
    <t>B) Imposte anticipate/differite</t>
  </si>
  <si>
    <t>* importi non imputati per centri di costo</t>
  </si>
  <si>
    <t>CONTO ECONOMICO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</si>
</sst>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€_-;\-* #,##0.00\ _€_-;_-* &quot;-&quot;??\ _€_-;_-@_-"/>
    <numFmt numFmtId="165" formatCode="#,##0;\(#,##0\)"/>
    <numFmt numFmtId="166" formatCode="_-* #,##0_-;\-* #,##0_-;_-* &quot;-&quot;??_-;_-@_-"/>
    <numFmt numFmtId="167" formatCode="_-* #,##0_-;\-* #,##0_-;_-* \-_-;_-@_-"/>
    <numFmt numFmtId="168" formatCode="#,##0.00;\(#,##0.00\)"/>
  </numFmts>
  <fonts count="23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DaxWide"/>
      <family val="3"/>
      <charset val="1"/>
    </font>
    <font>
      <b/>
      <sz val="10"/>
      <color rgb="FF000000"/>
      <name val="DaxWide"/>
      <family val="3"/>
      <charset val="1"/>
    </font>
    <font>
      <b/>
      <sz val="10"/>
      <color rgb="FF000080"/>
      <name val="DaxWide"/>
      <family val="3"/>
      <charset val="1"/>
    </font>
    <font>
      <b/>
      <sz val="9"/>
      <color rgb="FF000080"/>
      <name val="DaxWide"/>
      <family val="3"/>
      <charset val="1"/>
    </font>
    <font>
      <sz val="11"/>
      <color theme="1"/>
      <name val="Calibri"/>
      <family val="2"/>
      <scheme val="minor"/>
    </font>
    <font>
      <b/>
      <sz val="10"/>
      <color rgb="FF000000"/>
      <name val="DaxWide"/>
    </font>
    <font>
      <b/>
      <i/>
      <sz val="10"/>
      <color rgb="FF000000"/>
      <name val="DaxWide"/>
      <family val="3"/>
      <charset val="1"/>
    </font>
    <font>
      <b/>
      <sz val="10"/>
      <name val="DaxWide"/>
      <family val="3"/>
      <charset val="1"/>
    </font>
    <font>
      <sz val="10"/>
      <name val="Arial"/>
      <family val="2"/>
    </font>
    <font>
      <sz val="10"/>
      <name val="Arial"/>
      <family val="2"/>
    </font>
    <font>
      <b/>
      <sz val="9"/>
      <color rgb="FF000000"/>
      <name val="DaxWide"/>
      <family val="3"/>
      <charset val="1"/>
    </font>
    <font>
      <b/>
      <sz val="11"/>
      <color theme="1"/>
      <name val="Calibri"/>
      <family val="2"/>
      <scheme val="minor"/>
    </font>
    <font>
      <b/>
      <i/>
      <sz val="9"/>
      <color rgb="FF000000"/>
      <name val="DaxWide"/>
      <family val="3"/>
      <charset val="1"/>
    </font>
    <font>
      <b/>
      <sz val="9"/>
      <color theme="1"/>
      <name val="Calibri"/>
      <family val="2"/>
      <scheme val="minor"/>
    </font>
    <font>
      <b/>
      <i/>
      <sz val="8"/>
      <color rgb="FF000000"/>
      <name val="DaxWide"/>
      <family val="3"/>
      <charset val="1"/>
    </font>
    <font>
      <b/>
      <sz val="8"/>
      <color rgb="FF000000"/>
      <name val="DaxWide"/>
      <family val="3"/>
      <charset val="1"/>
    </font>
    <font>
      <b/>
      <sz val="8"/>
      <color theme="1"/>
      <name val="Calibri"/>
      <family val="2"/>
      <scheme val="minor"/>
    </font>
    <font>
      <sz val="10"/>
      <name val="Mangal"/>
      <family val="2"/>
    </font>
    <font>
      <b/>
      <i/>
      <sz val="9"/>
      <color rgb="FF000000"/>
      <name val="DaxWide"/>
    </font>
    <font>
      <b/>
      <sz val="9"/>
      <name val="DaxWide"/>
      <family val="3"/>
      <charset val="1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EBF1DE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rgb="FFEBF1DE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9" fontId="1" fillId="0" borderId="0" applyBorder="0" applyProtection="0"/>
    <xf numFmtId="43" fontId="6" fillId="0" borderId="0" applyFont="0" applyFill="0" applyBorder="0" applyAlignment="0" applyProtection="0"/>
    <xf numFmtId="0" fontId="10" fillId="0" borderId="0" applyFill="0" applyBorder="0" applyProtection="0"/>
    <xf numFmtId="0" fontId="11" fillId="0" borderId="0" applyFill="0" applyBorder="0" applyProtection="0"/>
    <xf numFmtId="167" fontId="19" fillId="0" borderId="0" applyFill="0" applyBorder="0" applyAlignment="0" applyProtection="0"/>
  </cellStyleXfs>
  <cellXfs count="231">
    <xf numFmtId="0" fontId="0" fillId="0" borderId="0" xfId="0"/>
    <xf numFmtId="165" fontId="3" fillId="3" borderId="8" xfId="1" applyNumberFormat="1" applyFont="1" applyFill="1" applyBorder="1"/>
    <xf numFmtId="165" fontId="3" fillId="3" borderId="2" xfId="1" applyNumberFormat="1" applyFont="1" applyFill="1" applyBorder="1"/>
    <xf numFmtId="165" fontId="3" fillId="3" borderId="4" xfId="1" applyNumberFormat="1" applyFont="1" applyFill="1" applyBorder="1"/>
    <xf numFmtId="165" fontId="3" fillId="0" borderId="6" xfId="1" applyNumberFormat="1" applyFont="1" applyBorder="1"/>
    <xf numFmtId="165" fontId="3" fillId="0" borderId="4" xfId="1" applyNumberFormat="1" applyFont="1" applyBorder="1"/>
    <xf numFmtId="165" fontId="7" fillId="0" borderId="8" xfId="1" applyNumberFormat="1" applyFont="1" applyBorder="1"/>
    <xf numFmtId="165" fontId="7" fillId="0" borderId="4" xfId="1" applyNumberFormat="1" applyFont="1" applyBorder="1"/>
    <xf numFmtId="165" fontId="7" fillId="3" borderId="2" xfId="1" applyNumberFormat="1" applyFont="1" applyFill="1" applyBorder="1"/>
    <xf numFmtId="165" fontId="3" fillId="3" borderId="6" xfId="1" applyNumberFormat="1" applyFont="1" applyFill="1" applyBorder="1" applyAlignment="1">
      <alignment horizontal="right"/>
    </xf>
    <xf numFmtId="0" fontId="13" fillId="0" borderId="0" xfId="0" applyFont="1"/>
    <xf numFmtId="165" fontId="13" fillId="0" borderId="0" xfId="0" applyNumberFormat="1" applyFont="1"/>
    <xf numFmtId="165" fontId="3" fillId="2" borderId="3" xfId="1" applyNumberFormat="1" applyFont="1" applyFill="1" applyBorder="1"/>
    <xf numFmtId="165" fontId="3" fillId="2" borderId="4" xfId="1" applyNumberFormat="1" applyFont="1" applyFill="1" applyBorder="1"/>
    <xf numFmtId="165" fontId="3" fillId="2" borderId="8" xfId="1" applyNumberFormat="1" applyFont="1" applyFill="1" applyBorder="1"/>
    <xf numFmtId="0" fontId="12" fillId="2" borderId="10" xfId="1" applyFont="1" applyFill="1" applyBorder="1" applyAlignment="1">
      <alignment wrapText="1"/>
    </xf>
    <xf numFmtId="0" fontId="12" fillId="0" borderId="10" xfId="1" applyFont="1" applyBorder="1" applyAlignment="1">
      <alignment wrapText="1"/>
    </xf>
    <xf numFmtId="0" fontId="14" fillId="0" borderId="0" xfId="1" applyFont="1" applyAlignment="1">
      <alignment wrapText="1"/>
    </xf>
    <xf numFmtId="165" fontId="14" fillId="0" borderId="9" xfId="1" applyNumberFormat="1" applyFont="1" applyBorder="1"/>
    <xf numFmtId="43" fontId="13" fillId="0" borderId="0" xfId="3" applyFont="1"/>
    <xf numFmtId="43" fontId="13" fillId="0" borderId="0" xfId="0" applyNumberFormat="1" applyFont="1"/>
    <xf numFmtId="0" fontId="14" fillId="2" borderId="10" xfId="1" applyFont="1" applyFill="1" applyBorder="1" applyAlignment="1">
      <alignment wrapText="1"/>
    </xf>
    <xf numFmtId="165" fontId="14" fillId="2" borderId="9" xfId="1" applyNumberFormat="1" applyFont="1" applyFill="1" applyBorder="1"/>
    <xf numFmtId="0" fontId="14" fillId="3" borderId="11" xfId="1" applyFont="1" applyFill="1" applyBorder="1" applyAlignment="1">
      <alignment horizontal="justify" wrapText="1"/>
    </xf>
    <xf numFmtId="0" fontId="14" fillId="2" borderId="11" xfId="1" applyFont="1" applyFill="1" applyBorder="1" applyAlignment="1">
      <alignment horizontal="justify" wrapText="1"/>
    </xf>
    <xf numFmtId="0" fontId="12" fillId="2" borderId="11" xfId="1" applyFont="1" applyFill="1" applyBorder="1" applyAlignment="1">
      <alignment horizontal="justify" wrapText="1"/>
    </xf>
    <xf numFmtId="0" fontId="2" fillId="2" borderId="5" xfId="1" applyFont="1" applyFill="1" applyBorder="1" applyAlignment="1">
      <alignment wrapText="1"/>
    </xf>
    <xf numFmtId="165" fontId="3" fillId="2" borderId="2" xfId="1" applyNumberFormat="1" applyFont="1" applyFill="1" applyBorder="1"/>
    <xf numFmtId="165" fontId="3" fillId="2" borderId="9" xfId="1" applyNumberFormat="1" applyFont="1" applyFill="1" applyBorder="1"/>
    <xf numFmtId="165" fontId="3" fillId="3" borderId="11" xfId="1" applyNumberFormat="1" applyFont="1" applyFill="1" applyBorder="1"/>
    <xf numFmtId="0" fontId="3" fillId="2" borderId="10" xfId="1" applyFont="1" applyFill="1" applyBorder="1" applyAlignment="1">
      <alignment wrapText="1"/>
    </xf>
    <xf numFmtId="0" fontId="3" fillId="2" borderId="11" xfId="1" applyFont="1" applyFill="1" applyBorder="1" applyAlignment="1">
      <alignment horizontal="justify" wrapText="1"/>
    </xf>
    <xf numFmtId="165" fontId="3" fillId="2" borderId="6" xfId="1" applyNumberFormat="1" applyFont="1" applyFill="1" applyBorder="1"/>
    <xf numFmtId="165" fontId="3" fillId="2" borderId="1" xfId="1" applyNumberFormat="1" applyFont="1" applyFill="1" applyBorder="1"/>
    <xf numFmtId="0" fontId="3" fillId="0" borderId="10" xfId="1" applyFont="1" applyBorder="1" applyAlignment="1">
      <alignment wrapText="1"/>
    </xf>
    <xf numFmtId="165" fontId="3" fillId="0" borderId="9" xfId="1" applyNumberFormat="1" applyFont="1" applyBorder="1"/>
    <xf numFmtId="0" fontId="14" fillId="0" borderId="0" xfId="1" applyFont="1" applyAlignment="1">
      <alignment horizontal="left" wrapText="1"/>
    </xf>
    <xf numFmtId="43" fontId="13" fillId="0" borderId="0" xfId="3" applyFont="1" applyFill="1"/>
    <xf numFmtId="0" fontId="14" fillId="0" borderId="10" xfId="1" applyFont="1" applyBorder="1" applyAlignment="1">
      <alignment wrapText="1"/>
    </xf>
    <xf numFmtId="165" fontId="3" fillId="0" borderId="3" xfId="1" applyNumberFormat="1" applyFont="1" applyBorder="1"/>
    <xf numFmtId="165" fontId="3" fillId="0" borderId="1" xfId="1" applyNumberFormat="1" applyFont="1" applyBorder="1"/>
    <xf numFmtId="165" fontId="3" fillId="0" borderId="0" xfId="1" applyNumberFormat="1" applyFont="1"/>
    <xf numFmtId="165" fontId="3" fillId="3" borderId="1" xfId="1" applyNumberFormat="1" applyFont="1" applyFill="1" applyBorder="1"/>
    <xf numFmtId="165" fontId="3" fillId="3" borderId="3" xfId="1" applyNumberFormat="1" applyFont="1" applyFill="1" applyBorder="1"/>
    <xf numFmtId="0" fontId="2" fillId="2" borderId="5" xfId="1" applyFont="1" applyFill="1" applyBorder="1" applyAlignment="1">
      <alignment horizontal="right" vertical="center" wrapText="1"/>
    </xf>
    <xf numFmtId="165" fontId="3" fillId="2" borderId="5" xfId="1" applyNumberFormat="1" applyFont="1" applyFill="1" applyBorder="1" applyAlignment="1">
      <alignment horizontal="right"/>
    </xf>
    <xf numFmtId="165" fontId="3" fillId="3" borderId="9" xfId="1" applyNumberFormat="1" applyFont="1" applyFill="1" applyBorder="1"/>
    <xf numFmtId="43" fontId="13" fillId="0" borderId="1" xfId="3" applyFont="1" applyBorder="1"/>
    <xf numFmtId="165" fontId="3" fillId="2" borderId="10" xfId="1" applyNumberFormat="1" applyFont="1" applyFill="1" applyBorder="1" applyAlignment="1">
      <alignment horizontal="right"/>
    </xf>
    <xf numFmtId="43" fontId="13" fillId="0" borderId="3" xfId="3" applyFont="1" applyBorder="1"/>
    <xf numFmtId="165" fontId="3" fillId="2" borderId="8" xfId="1" applyNumberFormat="1" applyFont="1" applyFill="1" applyBorder="1" applyAlignment="1">
      <alignment horizontal="right"/>
    </xf>
    <xf numFmtId="165" fontId="3" fillId="2" borderId="5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3" fillId="3" borderId="7" xfId="1" applyNumberFormat="1" applyFont="1" applyFill="1" applyBorder="1"/>
    <xf numFmtId="165" fontId="3" fillId="2" borderId="10" xfId="1" applyNumberFormat="1" applyFont="1" applyFill="1" applyBorder="1"/>
    <xf numFmtId="165" fontId="3" fillId="2" borderId="9" xfId="1" applyNumberFormat="1" applyFont="1" applyFill="1" applyBorder="1" applyAlignment="1">
      <alignment horizontal="right"/>
    </xf>
    <xf numFmtId="43" fontId="13" fillId="0" borderId="9" xfId="3" applyFont="1" applyBorder="1"/>
    <xf numFmtId="0" fontId="14" fillId="0" borderId="11" xfId="1" applyFont="1" applyBorder="1" applyAlignment="1">
      <alignment wrapText="1"/>
    </xf>
    <xf numFmtId="165" fontId="14" fillId="0" borderId="10" xfId="1" applyNumberFormat="1" applyFont="1" applyBorder="1"/>
    <xf numFmtId="43" fontId="13" fillId="0" borderId="9" xfId="3" applyFont="1" applyFill="1" applyBorder="1"/>
    <xf numFmtId="165" fontId="14" fillId="0" borderId="9" xfId="1" applyNumberFormat="1" applyFont="1" applyBorder="1" applyAlignment="1">
      <alignment horizontal="right"/>
    </xf>
    <xf numFmtId="0" fontId="14" fillId="2" borderId="11" xfId="1" applyFont="1" applyFill="1" applyBorder="1" applyAlignment="1">
      <alignment horizontal="left" wrapText="1"/>
    </xf>
    <xf numFmtId="43" fontId="13" fillId="0" borderId="9" xfId="3" applyFont="1" applyFill="1" applyBorder="1" applyAlignment="1"/>
    <xf numFmtId="165" fontId="14" fillId="2" borderId="10" xfId="1" applyNumberFormat="1" applyFont="1" applyFill="1" applyBorder="1"/>
    <xf numFmtId="165" fontId="14" fillId="2" borderId="9" xfId="1" applyNumberFormat="1" applyFont="1" applyFill="1" applyBorder="1" applyAlignment="1">
      <alignment horizontal="right"/>
    </xf>
    <xf numFmtId="0" fontId="14" fillId="2" borderId="11" xfId="1" applyFont="1" applyFill="1" applyBorder="1" applyAlignment="1">
      <alignment horizontal="left" vertical="center" wrapText="1"/>
    </xf>
    <xf numFmtId="165" fontId="3" fillId="2" borderId="3" xfId="1" applyNumberFormat="1" applyFont="1" applyFill="1" applyBorder="1" applyAlignment="1">
      <alignment horizontal="right"/>
    </xf>
    <xf numFmtId="43" fontId="13" fillId="0" borderId="3" xfId="3" applyFont="1" applyFill="1" applyBorder="1" applyAlignment="1"/>
    <xf numFmtId="165" fontId="3" fillId="3" borderId="6" xfId="1" applyNumberFormat="1" applyFont="1" applyFill="1" applyBorder="1"/>
    <xf numFmtId="165" fontId="3" fillId="2" borderId="0" xfId="1" applyNumberFormat="1" applyFont="1" applyFill="1"/>
    <xf numFmtId="43" fontId="13" fillId="0" borderId="1" xfId="3" applyFont="1" applyFill="1" applyBorder="1"/>
    <xf numFmtId="165" fontId="3" fillId="3" borderId="0" xfId="1" applyNumberFormat="1" applyFont="1" applyFill="1"/>
    <xf numFmtId="43" fontId="13" fillId="0" borderId="3" xfId="3" applyFont="1" applyFill="1" applyBorder="1"/>
    <xf numFmtId="43" fontId="13" fillId="0" borderId="4" xfId="3" applyFont="1" applyFill="1" applyBorder="1"/>
    <xf numFmtId="165" fontId="3" fillId="2" borderId="12" xfId="1" applyNumberFormat="1" applyFont="1" applyFill="1" applyBorder="1"/>
    <xf numFmtId="0" fontId="15" fillId="0" borderId="0" xfId="0" applyFont="1"/>
    <xf numFmtId="165" fontId="3" fillId="2" borderId="11" xfId="1" applyNumberFormat="1" applyFont="1" applyFill="1" applyBorder="1"/>
    <xf numFmtId="165" fontId="14" fillId="0" borderId="11" xfId="1" applyNumberFormat="1" applyFont="1" applyBorder="1"/>
    <xf numFmtId="165" fontId="14" fillId="0" borderId="0" xfId="1" applyNumberFormat="1" applyFont="1"/>
    <xf numFmtId="165" fontId="14" fillId="2" borderId="11" xfId="1" applyNumberFormat="1" applyFont="1" applyFill="1" applyBorder="1"/>
    <xf numFmtId="165" fontId="14" fillId="2" borderId="0" xfId="1" applyNumberFormat="1" applyFont="1" applyFill="1"/>
    <xf numFmtId="0" fontId="16" fillId="2" borderId="10" xfId="1" applyFont="1" applyFill="1" applyBorder="1" applyAlignment="1">
      <alignment wrapText="1"/>
    </xf>
    <xf numFmtId="0" fontId="16" fillId="2" borderId="11" xfId="1" applyFont="1" applyFill="1" applyBorder="1" applyAlignment="1">
      <alignment horizontal="left" vertical="center" wrapText="1"/>
    </xf>
    <xf numFmtId="165" fontId="16" fillId="2" borderId="9" xfId="1" applyNumberFormat="1" applyFont="1" applyFill="1" applyBorder="1"/>
    <xf numFmtId="165" fontId="16" fillId="2" borderId="11" xfId="1" applyNumberFormat="1" applyFont="1" applyFill="1" applyBorder="1"/>
    <xf numFmtId="165" fontId="16" fillId="2" borderId="0" xfId="1" applyNumberFormat="1" applyFont="1" applyFill="1"/>
    <xf numFmtId="165" fontId="17" fillId="3" borderId="11" xfId="1" applyNumberFormat="1" applyFont="1" applyFill="1" applyBorder="1"/>
    <xf numFmtId="0" fontId="18" fillId="0" borderId="0" xfId="0" applyFont="1"/>
    <xf numFmtId="165" fontId="17" fillId="2" borderId="9" xfId="1" applyNumberFormat="1" applyFont="1" applyFill="1" applyBorder="1"/>
    <xf numFmtId="165" fontId="17" fillId="2" borderId="11" xfId="1" applyNumberFormat="1" applyFont="1" applyFill="1" applyBorder="1"/>
    <xf numFmtId="165" fontId="17" fillId="2" borderId="0" xfId="1" applyNumberFormat="1" applyFont="1" applyFill="1"/>
    <xf numFmtId="165" fontId="3" fillId="2" borderId="9" xfId="1" applyNumberFormat="1" applyFont="1" applyFill="1" applyBorder="1" applyAlignment="1">
      <alignment vertical="top"/>
    </xf>
    <xf numFmtId="164" fontId="13" fillId="0" borderId="0" xfId="0" applyNumberFormat="1" applyFont="1"/>
    <xf numFmtId="165" fontId="3" fillId="3" borderId="0" xfId="1" applyNumberFormat="1" applyFont="1" applyFill="1" applyAlignment="1">
      <alignment wrapText="1"/>
    </xf>
    <xf numFmtId="166" fontId="3" fillId="3" borderId="4" xfId="3" applyNumberFormat="1" applyFont="1" applyFill="1" applyBorder="1"/>
    <xf numFmtId="165" fontId="3" fillId="3" borderId="4" xfId="3" applyNumberFormat="1" applyFont="1" applyFill="1" applyBorder="1"/>
    <xf numFmtId="166" fontId="13" fillId="0" borderId="0" xfId="3" applyNumberFormat="1" applyFont="1" applyAlignment="1"/>
    <xf numFmtId="166" fontId="13" fillId="0" borderId="0" xfId="3" applyNumberFormat="1" applyFont="1" applyFill="1"/>
    <xf numFmtId="166" fontId="13" fillId="0" borderId="0" xfId="0" applyNumberFormat="1" applyFont="1"/>
    <xf numFmtId="0" fontId="2" fillId="2" borderId="10" xfId="1" applyFont="1" applyFill="1" applyBorder="1" applyAlignment="1">
      <alignment wrapText="1"/>
    </xf>
    <xf numFmtId="0" fontId="2" fillId="2" borderId="0" xfId="1" applyFont="1" applyFill="1" applyAlignment="1">
      <alignment wrapText="1"/>
    </xf>
    <xf numFmtId="0" fontId="2" fillId="2" borderId="0" xfId="1" applyFont="1" applyFill="1" applyAlignment="1">
      <alignment horizontal="right" vertical="center" wrapText="1"/>
    </xf>
    <xf numFmtId="0" fontId="2" fillId="2" borderId="10" xfId="1" applyFont="1" applyFill="1" applyBorder="1" applyAlignment="1">
      <alignment horizontal="right" vertical="center" wrapText="1"/>
    </xf>
    <xf numFmtId="0" fontId="2" fillId="2" borderId="12" xfId="1" applyFont="1" applyFill="1" applyBorder="1" applyAlignment="1">
      <alignment horizontal="right" vertical="center" wrapText="1"/>
    </xf>
    <xf numFmtId="43" fontId="13" fillId="0" borderId="0" xfId="3" applyFont="1" applyAlignment="1"/>
    <xf numFmtId="165" fontId="3" fillId="2" borderId="18" xfId="1" applyNumberFormat="1" applyFont="1" applyFill="1" applyBorder="1"/>
    <xf numFmtId="165" fontId="3" fillId="2" borderId="13" xfId="1" applyNumberFormat="1" applyFont="1" applyFill="1" applyBorder="1"/>
    <xf numFmtId="165" fontId="3" fillId="3" borderId="19" xfId="1" applyNumberFormat="1" applyFont="1" applyFill="1" applyBorder="1"/>
    <xf numFmtId="165" fontId="3" fillId="3" borderId="15" xfId="1" applyNumberFormat="1" applyFont="1" applyFill="1" applyBorder="1"/>
    <xf numFmtId="165" fontId="3" fillId="3" borderId="14" xfId="1" applyNumberFormat="1" applyFont="1" applyFill="1" applyBorder="1"/>
    <xf numFmtId="165" fontId="3" fillId="2" borderId="21" xfId="1" applyNumberFormat="1" applyFont="1" applyFill="1" applyBorder="1"/>
    <xf numFmtId="165" fontId="3" fillId="3" borderId="10" xfId="1" applyNumberFormat="1" applyFont="1" applyFill="1" applyBorder="1" applyAlignment="1">
      <alignment horizontal="right"/>
    </xf>
    <xf numFmtId="165" fontId="3" fillId="2" borderId="16" xfId="1" applyNumberFormat="1" applyFont="1" applyFill="1" applyBorder="1"/>
    <xf numFmtId="165" fontId="7" fillId="3" borderId="17" xfId="1" applyNumberFormat="1" applyFont="1" applyFill="1" applyBorder="1"/>
    <xf numFmtId="165" fontId="3" fillId="3" borderId="13" xfId="1" applyNumberFormat="1" applyFont="1" applyFill="1" applyBorder="1"/>
    <xf numFmtId="165" fontId="7" fillId="3" borderId="9" xfId="1" applyNumberFormat="1" applyFont="1" applyFill="1" applyBorder="1"/>
    <xf numFmtId="165" fontId="3" fillId="2" borderId="19" xfId="1" applyNumberFormat="1" applyFont="1" applyFill="1" applyBorder="1" applyAlignment="1">
      <alignment horizontal="right"/>
    </xf>
    <xf numFmtId="165" fontId="3" fillId="2" borderId="7" xfId="1" applyNumberFormat="1" applyFont="1" applyFill="1" applyBorder="1" applyAlignment="1">
      <alignment horizontal="right"/>
    </xf>
    <xf numFmtId="165" fontId="3" fillId="2" borderId="11" xfId="1" applyNumberFormat="1" applyFont="1" applyFill="1" applyBorder="1" applyAlignment="1">
      <alignment horizontal="right"/>
    </xf>
    <xf numFmtId="165" fontId="14" fillId="0" borderId="11" xfId="1" applyNumberFormat="1" applyFont="1" applyBorder="1" applyAlignment="1">
      <alignment horizontal="right"/>
    </xf>
    <xf numFmtId="165" fontId="14" fillId="2" borderId="11" xfId="1" applyNumberFormat="1" applyFont="1" applyFill="1" applyBorder="1" applyAlignment="1">
      <alignment horizontal="right"/>
    </xf>
    <xf numFmtId="165" fontId="3" fillId="3" borderId="20" xfId="1" applyNumberFormat="1" applyFont="1" applyFill="1" applyBorder="1"/>
    <xf numFmtId="165" fontId="3" fillId="2" borderId="7" xfId="1" applyNumberFormat="1" applyFont="1" applyFill="1" applyBorder="1"/>
    <xf numFmtId="165" fontId="3" fillId="0" borderId="15" xfId="1" applyNumberFormat="1" applyFont="1" applyBorder="1"/>
    <xf numFmtId="165" fontId="3" fillId="0" borderId="19" xfId="1" applyNumberFormat="1" applyFont="1" applyBorder="1"/>
    <xf numFmtId="165" fontId="7" fillId="0" borderId="19" xfId="1" applyNumberFormat="1" applyFont="1" applyBorder="1"/>
    <xf numFmtId="165" fontId="3" fillId="2" borderId="13" xfId="1" applyNumberFormat="1" applyFont="1" applyFill="1" applyBorder="1" applyAlignment="1">
      <alignment horizontal="right"/>
    </xf>
    <xf numFmtId="165" fontId="3" fillId="3" borderId="14" xfId="1" applyNumberFormat="1" applyFont="1" applyFill="1" applyBorder="1" applyAlignment="1">
      <alignment horizontal="right"/>
    </xf>
    <xf numFmtId="165" fontId="3" fillId="0" borderId="21" xfId="1" applyNumberFormat="1" applyFont="1" applyBorder="1"/>
    <xf numFmtId="165" fontId="3" fillId="0" borderId="10" xfId="1" applyNumberFormat="1" applyFont="1" applyBorder="1"/>
    <xf numFmtId="165" fontId="3" fillId="3" borderId="9" xfId="1" applyNumberFormat="1" applyFont="1" applyFill="1" applyBorder="1" applyAlignment="1">
      <alignment horizontal="right"/>
    </xf>
    <xf numFmtId="165" fontId="7" fillId="0" borderId="14" xfId="1" applyNumberFormat="1" applyFont="1" applyBorder="1"/>
    <xf numFmtId="165" fontId="3" fillId="0" borderId="20" xfId="1" applyNumberFormat="1" applyFont="1" applyBorder="1"/>
    <xf numFmtId="0" fontId="16" fillId="0" borderId="0" xfId="1" applyFont="1" applyAlignment="1">
      <alignment horizontal="left" vertical="center" wrapText="1"/>
    </xf>
    <xf numFmtId="0" fontId="2" fillId="2" borderId="0" xfId="1" applyFont="1" applyFill="1" applyBorder="1" applyAlignment="1">
      <alignment horizontal="right" vertical="center" wrapText="1"/>
    </xf>
    <xf numFmtId="0" fontId="2" fillId="2" borderId="21" xfId="1" applyFont="1" applyFill="1" applyBorder="1" applyAlignment="1">
      <alignment wrapText="1"/>
    </xf>
    <xf numFmtId="0" fontId="2" fillId="2" borderId="16" xfId="1" applyFont="1" applyFill="1" applyBorder="1" applyAlignment="1">
      <alignment wrapText="1"/>
    </xf>
    <xf numFmtId="165" fontId="12" fillId="2" borderId="13" xfId="1" applyNumberFormat="1" applyFont="1" applyFill="1" applyBorder="1"/>
    <xf numFmtId="165" fontId="12" fillId="2" borderId="9" xfId="1" applyNumberFormat="1" applyFont="1" applyFill="1" applyBorder="1"/>
    <xf numFmtId="165" fontId="12" fillId="2" borderId="18" xfId="1" applyNumberFormat="1" applyFont="1" applyFill="1" applyBorder="1"/>
    <xf numFmtId="165" fontId="12" fillId="3" borderId="18" xfId="1" applyNumberFormat="1" applyFont="1" applyFill="1" applyBorder="1"/>
    <xf numFmtId="165" fontId="12" fillId="4" borderId="13" xfId="1" applyNumberFormat="1" applyFont="1" applyFill="1" applyBorder="1"/>
    <xf numFmtId="0" fontId="16" fillId="0" borderId="0" xfId="1" applyFont="1" applyAlignment="1">
      <alignment wrapText="1"/>
    </xf>
    <xf numFmtId="0" fontId="14" fillId="2" borderId="0" xfId="1" applyFont="1" applyFill="1" applyAlignment="1">
      <alignment horizontal="left" wrapText="1"/>
    </xf>
    <xf numFmtId="0" fontId="20" fillId="0" borderId="0" xfId="1" applyFont="1" applyAlignment="1">
      <alignment horizontal="right" wrapText="1"/>
    </xf>
    <xf numFmtId="0" fontId="16" fillId="2" borderId="0" xfId="1" applyFont="1" applyFill="1" applyAlignment="1">
      <alignment horizontal="left" vertical="center" wrapText="1"/>
    </xf>
    <xf numFmtId="0" fontId="13" fillId="0" borderId="0" xfId="0" applyFont="1" applyAlignment="1">
      <alignment horizontal="right"/>
    </xf>
    <xf numFmtId="165" fontId="12" fillId="0" borderId="9" xfId="1" applyNumberFormat="1" applyFont="1" applyBorder="1"/>
    <xf numFmtId="165" fontId="12" fillId="3" borderId="14" xfId="1" applyNumberFormat="1" applyFont="1" applyFill="1" applyBorder="1"/>
    <xf numFmtId="165" fontId="21" fillId="5" borderId="14" xfId="1" applyNumberFormat="1" applyFont="1" applyFill="1" applyBorder="1"/>
    <xf numFmtId="0" fontId="13" fillId="0" borderId="0" xfId="0" applyFont="1" applyAlignment="1">
      <alignment horizontal="right" vertical="center"/>
    </xf>
    <xf numFmtId="0" fontId="17" fillId="0" borderId="10" xfId="1" applyFont="1" applyBorder="1" applyAlignment="1">
      <alignment horizontal="right" wrapText="1"/>
    </xf>
    <xf numFmtId="0" fontId="17" fillId="0" borderId="11" xfId="1" applyFont="1" applyBorder="1" applyAlignment="1">
      <alignment horizontal="justify" wrapText="1"/>
    </xf>
    <xf numFmtId="0" fontId="22" fillId="0" borderId="0" xfId="0" quotePrefix="1" applyFont="1"/>
    <xf numFmtId="168" fontId="13" fillId="0" borderId="0" xfId="0" applyNumberFormat="1" applyFont="1"/>
    <xf numFmtId="0" fontId="13" fillId="0" borderId="0" xfId="0" quotePrefix="1" applyFont="1"/>
    <xf numFmtId="166" fontId="13" fillId="0" borderId="0" xfId="3" applyNumberFormat="1" applyFont="1"/>
    <xf numFmtId="3" fontId="0" fillId="0" borderId="0" xfId="0" applyNumberFormat="1" applyFont="1"/>
    <xf numFmtId="0" fontId="8" fillId="2" borderId="9" xfId="1" applyFont="1" applyFill="1" applyBorder="1" applyAlignment="1">
      <alignment horizontal="left" wrapText="1"/>
    </xf>
    <xf numFmtId="0" fontId="8" fillId="2" borderId="10" xfId="1" applyFont="1" applyFill="1" applyBorder="1" applyAlignment="1">
      <alignment horizontal="left" wrapText="1"/>
    </xf>
    <xf numFmtId="0" fontId="8" fillId="0" borderId="9" xfId="1" applyFont="1" applyBorder="1" applyAlignment="1">
      <alignment horizontal="left" vertical="center" wrapText="1"/>
    </xf>
    <xf numFmtId="0" fontId="8" fillId="0" borderId="10" xfId="1" applyFont="1" applyBorder="1" applyAlignment="1">
      <alignment horizontal="left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" fillId="3" borderId="13" xfId="1" applyFont="1" applyFill="1" applyBorder="1" applyAlignment="1">
      <alignment horizontal="center" vertical="center" wrapText="1"/>
    </xf>
    <xf numFmtId="0" fontId="4" fillId="3" borderId="9" xfId="1" applyFont="1" applyFill="1" applyBorder="1" applyAlignment="1">
      <alignment horizontal="center" vertical="center" wrapText="1"/>
    </xf>
    <xf numFmtId="0" fontId="4" fillId="3" borderId="18" xfId="1" applyFont="1" applyFill="1" applyBorder="1" applyAlignment="1">
      <alignment horizontal="center" vertical="center" wrapText="1"/>
    </xf>
    <xf numFmtId="0" fontId="9" fillId="3" borderId="13" xfId="1" applyFont="1" applyFill="1" applyBorder="1" applyAlignment="1">
      <alignment horizontal="center" vertical="center" wrapText="1"/>
    </xf>
    <xf numFmtId="0" fontId="9" fillId="3" borderId="9" xfId="1" applyFont="1" applyFill="1" applyBorder="1" applyAlignment="1">
      <alignment horizontal="center" vertical="center" wrapText="1"/>
    </xf>
    <xf numFmtId="0" fontId="9" fillId="3" borderId="18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left" wrapText="1"/>
    </xf>
    <xf numFmtId="0" fontId="8" fillId="2" borderId="7" xfId="1" applyFont="1" applyFill="1" applyBorder="1" applyAlignment="1">
      <alignment horizontal="left" wrapText="1"/>
    </xf>
    <xf numFmtId="0" fontId="4" fillId="3" borderId="4" xfId="1" applyFont="1" applyFill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20" xfId="1" applyFont="1" applyFill="1" applyBorder="1" applyAlignment="1">
      <alignment horizontal="center" vertical="center" wrapText="1"/>
    </xf>
    <xf numFmtId="0" fontId="8" fillId="0" borderId="5" xfId="1" applyFont="1" applyBorder="1" applyAlignment="1">
      <alignment horizontal="left" wrapText="1"/>
    </xf>
    <xf numFmtId="0" fontId="8" fillId="0" borderId="7" xfId="1" applyFont="1" applyBorder="1" applyAlignment="1">
      <alignment horizontal="left" wrapText="1"/>
    </xf>
    <xf numFmtId="0" fontId="16" fillId="0" borderId="9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left" vertical="center" wrapText="1"/>
    </xf>
    <xf numFmtId="0" fontId="4" fillId="0" borderId="14" xfId="1" applyFont="1" applyBorder="1" applyAlignment="1">
      <alignment horizontal="left" vertical="center" wrapText="1"/>
    </xf>
    <xf numFmtId="0" fontId="9" fillId="3" borderId="14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3" fillId="0" borderId="10" xfId="1" applyFont="1" applyBorder="1" applyAlignment="1">
      <alignment horizontal="justify" wrapText="1"/>
    </xf>
    <xf numFmtId="0" fontId="13" fillId="0" borderId="11" xfId="0" applyFont="1" applyBorder="1" applyAlignment="1">
      <alignment wrapText="1"/>
    </xf>
    <xf numFmtId="0" fontId="2" fillId="2" borderId="6" xfId="1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left" wrapText="1"/>
    </xf>
    <xf numFmtId="0" fontId="14" fillId="2" borderId="7" xfId="1" applyFont="1" applyFill="1" applyBorder="1" applyAlignment="1">
      <alignment horizontal="left" wrapText="1"/>
    </xf>
    <xf numFmtId="0" fontId="14" fillId="2" borderId="9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horizontal="left" vertical="center" wrapText="1"/>
    </xf>
    <xf numFmtId="0" fontId="14" fillId="2" borderId="9" xfId="1" applyFont="1" applyFill="1" applyBorder="1" applyAlignment="1">
      <alignment horizontal="left" wrapText="1"/>
    </xf>
    <xf numFmtId="0" fontId="4" fillId="3" borderId="15" xfId="1" applyFont="1" applyFill="1" applyBorder="1" applyAlignment="1">
      <alignment horizontal="left" vertical="center" wrapText="1"/>
    </xf>
    <xf numFmtId="0" fontId="4" fillId="3" borderId="20" xfId="1" applyFont="1" applyFill="1" applyBorder="1" applyAlignment="1">
      <alignment horizontal="left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/>
    </xf>
    <xf numFmtId="0" fontId="2" fillId="2" borderId="19" xfId="1" applyFont="1" applyFill="1" applyBorder="1" applyAlignment="1">
      <alignment horizontal="center" vertical="center"/>
    </xf>
    <xf numFmtId="0" fontId="2" fillId="2" borderId="20" xfId="1" applyFont="1" applyFill="1" applyBorder="1" applyAlignment="1">
      <alignment horizontal="center" vertical="center"/>
    </xf>
    <xf numFmtId="0" fontId="9" fillId="3" borderId="21" xfId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 wrapText="1"/>
    </xf>
    <xf numFmtId="0" fontId="9" fillId="3" borderId="16" xfId="1" applyFont="1" applyFill="1" applyBorder="1" applyAlignment="1">
      <alignment horizontal="center" vertical="center" wrapText="1"/>
    </xf>
    <xf numFmtId="0" fontId="9" fillId="3" borderId="1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3" xfId="0" applyBorder="1"/>
    <xf numFmtId="0" fontId="0" fillId="0" borderId="9" xfId="0" applyBorder="1" applyAlignment="1">
      <alignment horizontal="center" vertical="center" wrapText="1"/>
    </xf>
    <xf numFmtId="0" fontId="16" fillId="2" borderId="9" xfId="1" applyFont="1" applyFill="1" applyBorder="1" applyAlignment="1">
      <alignment horizontal="left" vertical="center" wrapText="1"/>
    </xf>
    <xf numFmtId="43" fontId="13" fillId="0" borderId="1" xfId="3" applyFont="1" applyBorder="1" applyAlignment="1"/>
    <xf numFmtId="0" fontId="13" fillId="0" borderId="3" xfId="0" applyFont="1" applyBorder="1"/>
    <xf numFmtId="0" fontId="13" fillId="0" borderId="9" xfId="0" applyFont="1" applyBorder="1" applyAlignment="1">
      <alignment horizontal="center" vertical="center" wrapText="1"/>
    </xf>
    <xf numFmtId="0" fontId="14" fillId="2" borderId="10" xfId="1" applyFont="1" applyFill="1" applyBorder="1" applyAlignment="1">
      <alignment horizontal="left" vertical="center" wrapText="1"/>
    </xf>
    <xf numFmtId="0" fontId="4" fillId="3" borderId="18" xfId="1" applyFont="1" applyFill="1" applyBorder="1" applyAlignment="1">
      <alignment horizontal="left" vertical="center" wrapText="1"/>
    </xf>
    <xf numFmtId="0" fontId="14" fillId="2" borderId="21" xfId="1" applyFont="1" applyFill="1" applyBorder="1" applyAlignment="1">
      <alignment horizontal="left" wrapText="1"/>
    </xf>
    <xf numFmtId="0" fontId="14" fillId="2" borderId="12" xfId="1" applyFont="1" applyFill="1" applyBorder="1" applyAlignment="1">
      <alignment horizontal="left" wrapText="1"/>
    </xf>
    <xf numFmtId="0" fontId="16" fillId="2" borderId="10" xfId="1" applyFont="1" applyFill="1" applyBorder="1" applyAlignment="1">
      <alignment horizontal="left" wrapText="1"/>
    </xf>
    <xf numFmtId="0" fontId="16" fillId="2" borderId="0" xfId="1" applyFont="1" applyFill="1" applyAlignment="1">
      <alignment horizontal="left" wrapText="1"/>
    </xf>
    <xf numFmtId="0" fontId="14" fillId="2" borderId="10" xfId="1" applyFont="1" applyFill="1" applyBorder="1" applyAlignment="1">
      <alignment horizontal="left" wrapText="1"/>
    </xf>
    <xf numFmtId="0" fontId="16" fillId="0" borderId="9" xfId="1" applyFont="1" applyBorder="1" applyAlignment="1">
      <alignment horizontal="left" wrapText="1"/>
    </xf>
    <xf numFmtId="0" fontId="16" fillId="0" borderId="10" xfId="1" applyFont="1" applyBorder="1" applyAlignment="1">
      <alignment horizontal="left" wrapText="1"/>
    </xf>
    <xf numFmtId="0" fontId="5" fillId="3" borderId="14" xfId="1" applyFont="1" applyFill="1" applyBorder="1" applyAlignment="1">
      <alignment horizontal="left" vertical="center" wrapText="1"/>
    </xf>
    <xf numFmtId="0" fontId="14" fillId="0" borderId="9" xfId="1" applyFont="1" applyBorder="1" applyAlignment="1">
      <alignment horizontal="left" vertical="center" wrapText="1"/>
    </xf>
    <xf numFmtId="0" fontId="14" fillId="0" borderId="10" xfId="1" applyFont="1" applyBorder="1" applyAlignment="1">
      <alignment horizontal="left" vertical="center" wrapText="1"/>
    </xf>
    <xf numFmtId="0" fontId="16" fillId="2" borderId="21" xfId="1" applyFont="1" applyFill="1" applyBorder="1" applyAlignment="1">
      <alignment horizontal="left" wrapText="1"/>
    </xf>
    <xf numFmtId="0" fontId="16" fillId="2" borderId="7" xfId="1" applyFont="1" applyFill="1" applyBorder="1" applyAlignment="1">
      <alignment horizontal="left" wrapText="1"/>
    </xf>
    <xf numFmtId="0" fontId="2" fillId="2" borderId="14" xfId="1" applyFont="1" applyFill="1" applyBorder="1" applyAlignment="1">
      <alignment horizontal="center" vertical="center"/>
    </xf>
    <xf numFmtId="0" fontId="2" fillId="2" borderId="7" xfId="1" applyFont="1" applyFill="1" applyBorder="1" applyAlignment="1">
      <alignment horizontal="right" vertical="center" wrapText="1"/>
    </xf>
    <xf numFmtId="0" fontId="2" fillId="2" borderId="17" xfId="1" applyFont="1" applyFill="1" applyBorder="1" applyAlignment="1">
      <alignment horizontal="right" vertical="center" wrapText="1"/>
    </xf>
  </cellXfs>
  <cellStyles count="7">
    <cellStyle name="Excel Built-in Comma [0]" xfId="6" xr:uid="{00000000-0005-0000-0000-000000000000}"/>
    <cellStyle name="Migliaia" xfId="3" builtinId="3"/>
    <cellStyle name="Normale" xfId="0" builtinId="0"/>
    <cellStyle name="Normale 2" xfId="1" xr:uid="{00000000-0005-0000-0000-000003000000}"/>
    <cellStyle name="Normale 3" xfId="4" xr:uid="{00000000-0005-0000-0000-000004000000}"/>
    <cellStyle name="Normale 4" xfId="5" xr:uid="{00000000-0005-0000-0000-000005000000}"/>
    <cellStyle name="Percentuale 2" xfId="2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205740</xdr:colOff>
          <xdr:row>0</xdr:row>
          <xdr:rowOff>91440</xdr:rowOff>
        </xdr:from>
        <xdr:to>
          <xdr:col>1</xdr:col>
          <xdr:colOff>784860</xdr:colOff>
          <xdr:row>2</xdr:row>
          <xdr:rowOff>144780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182880</xdr:colOff>
          <xdr:row>0</xdr:row>
          <xdr:rowOff>60960</xdr:rowOff>
        </xdr:from>
        <xdr:to>
          <xdr:col>1</xdr:col>
          <xdr:colOff>883920</xdr:colOff>
          <xdr:row>2</xdr:row>
          <xdr:rowOff>137160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144780</xdr:colOff>
          <xdr:row>0</xdr:row>
          <xdr:rowOff>60960</xdr:rowOff>
        </xdr:from>
        <xdr:to>
          <xdr:col>1</xdr:col>
          <xdr:colOff>685800</xdr:colOff>
          <xdr:row>2</xdr:row>
          <xdr:rowOff>167640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396240</xdr:colOff>
          <xdr:row>0</xdr:row>
          <xdr:rowOff>76200</xdr:rowOff>
        </xdr:from>
        <xdr:to>
          <xdr:col>2</xdr:col>
          <xdr:colOff>1226820</xdr:colOff>
          <xdr:row>1</xdr:row>
          <xdr:rowOff>289560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esktop/sezione%20SERVIZI%20EROGATI/dettaglio%20costi%20contabilizzati_sig.ra%20Fabiano/schede%20economiche%20e%20patrimoniali%20%20anno%202024%20%20AN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o econ. spazz. coll. e verd"/>
      <sheetName val="Raccolta diff e impianti (2)"/>
      <sheetName val="Settore Pulizia"/>
      <sheetName val="riepilogo conto economico (2)"/>
    </sheetNames>
    <sheetDataSet>
      <sheetData sheetId="0"/>
      <sheetData sheetId="1">
        <row r="35">
          <cell r="H35">
            <v>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7"/>
  <sheetViews>
    <sheetView topLeftCell="A13" zoomScaleNormal="100" workbookViewId="0">
      <selection activeCell="H31" sqref="H31"/>
    </sheetView>
  </sheetViews>
  <sheetFormatPr defaultColWidth="9.109375" defaultRowHeight="14.4"/>
  <cols>
    <col min="1" max="1" width="4.33203125" style="10" customWidth="1"/>
    <col min="2" max="2" width="67" style="10" customWidth="1"/>
    <col min="3" max="3" width="21.5546875" style="10" customWidth="1"/>
    <col min="4" max="4" width="20.44140625" style="10" customWidth="1"/>
    <col min="5" max="5" width="19.44140625" style="10" customWidth="1"/>
    <col min="6" max="6" width="17.33203125" style="10" customWidth="1"/>
    <col min="7" max="7" width="14.109375" style="10" customWidth="1"/>
    <col min="8" max="8" width="13.6640625" style="10" customWidth="1"/>
    <col min="9" max="9" width="22" style="10" customWidth="1"/>
    <col min="10" max="10" width="9.109375" style="10"/>
    <col min="11" max="14" width="9.109375" style="10" customWidth="1"/>
    <col min="15" max="15" width="13.33203125" style="10" bestFit="1" customWidth="1"/>
    <col min="16" max="16384" width="9.109375" style="10"/>
  </cols>
  <sheetData>
    <row r="1" spans="1:9" ht="30" customHeight="1">
      <c r="A1" s="26"/>
      <c r="B1" s="103"/>
      <c r="C1" s="162" t="s">
        <v>75</v>
      </c>
      <c r="D1" s="163"/>
      <c r="E1" s="163"/>
      <c r="F1" s="163"/>
      <c r="G1" s="164"/>
    </row>
    <row r="2" spans="1:9" ht="19.95" customHeight="1">
      <c r="A2" s="99"/>
      <c r="B2" s="101"/>
      <c r="C2" s="162" t="s">
        <v>50</v>
      </c>
      <c r="D2" s="175"/>
      <c r="E2" s="175"/>
      <c r="F2" s="175"/>
      <c r="G2" s="176"/>
    </row>
    <row r="3" spans="1:9" ht="19.95" customHeight="1">
      <c r="A3" s="100"/>
      <c r="B3" s="101"/>
      <c r="C3" s="162" t="s">
        <v>72</v>
      </c>
      <c r="D3" s="163"/>
      <c r="E3" s="163"/>
      <c r="F3" s="163"/>
      <c r="G3" s="164"/>
    </row>
    <row r="4" spans="1:9" ht="22.05" customHeight="1">
      <c r="A4" s="182"/>
      <c r="B4" s="182"/>
      <c r="C4" s="165" t="s">
        <v>76</v>
      </c>
      <c r="D4" s="165" t="s">
        <v>59</v>
      </c>
      <c r="E4" s="165" t="s">
        <v>60</v>
      </c>
      <c r="F4" s="165" t="s">
        <v>71</v>
      </c>
      <c r="G4" s="168" t="s">
        <v>77</v>
      </c>
    </row>
    <row r="5" spans="1:9" ht="22.05" customHeight="1">
      <c r="A5" s="182"/>
      <c r="B5" s="182"/>
      <c r="C5" s="166"/>
      <c r="D5" s="166"/>
      <c r="E5" s="166"/>
      <c r="F5" s="166"/>
      <c r="G5" s="169"/>
    </row>
    <row r="6" spans="1:9">
      <c r="A6" s="173" t="s">
        <v>1</v>
      </c>
      <c r="B6" s="173"/>
      <c r="C6" s="167"/>
      <c r="D6" s="167"/>
      <c r="E6" s="167"/>
      <c r="F6" s="167"/>
      <c r="G6" s="170"/>
      <c r="I6" s="11"/>
    </row>
    <row r="7" spans="1:9" ht="12.75" customHeight="1">
      <c r="A7" s="171" t="s">
        <v>2</v>
      </c>
      <c r="B7" s="172"/>
      <c r="C7" s="28">
        <v>6848038.4199999999</v>
      </c>
      <c r="D7" s="28">
        <v>324091.92</v>
      </c>
      <c r="E7" s="28">
        <v>550706.64</v>
      </c>
      <c r="F7" s="42">
        <f>SUM(C7:E7)</f>
        <v>7722836.9799999995</v>
      </c>
      <c r="G7" s="126">
        <v>504813.43</v>
      </c>
      <c r="H7" s="11"/>
    </row>
    <row r="8" spans="1:9" ht="9.75" customHeight="1">
      <c r="A8" s="158" t="s">
        <v>3</v>
      </c>
      <c r="B8" s="158"/>
      <c r="C8" s="28"/>
      <c r="D8" s="28"/>
      <c r="E8" s="28"/>
      <c r="F8" s="43">
        <f>SUM(C8:E8)</f>
        <v>0</v>
      </c>
      <c r="G8" s="55"/>
      <c r="H8" s="11"/>
    </row>
    <row r="9" spans="1:9" ht="13.5" customHeight="1">
      <c r="A9" s="30"/>
      <c r="B9" s="31" t="s">
        <v>4</v>
      </c>
      <c r="C9" s="28">
        <f>118557+94589+9410</f>
        <v>222556</v>
      </c>
      <c r="D9" s="28"/>
      <c r="E9" s="28"/>
      <c r="F9" s="29">
        <f>SUM(C9:E9)</f>
        <v>222556</v>
      </c>
      <c r="G9" s="28"/>
      <c r="I9" s="11"/>
    </row>
    <row r="10" spans="1:9" ht="13.5" customHeight="1">
      <c r="A10" s="173" t="s">
        <v>5</v>
      </c>
      <c r="B10" s="173"/>
      <c r="C10" s="3">
        <f>SUM(C7:C9)</f>
        <v>7070594.4199999999</v>
      </c>
      <c r="D10" s="3">
        <f>SUM(D7:D9)</f>
        <v>324091.92</v>
      </c>
      <c r="E10" s="3">
        <f>SUM(E7:E9)</f>
        <v>550706.64</v>
      </c>
      <c r="F10" s="2">
        <f>SUM(C10:E10)</f>
        <v>7945392.9799999995</v>
      </c>
      <c r="G10" s="127">
        <f t="shared" ref="G10" si="0">SUM(G7:G9)</f>
        <v>504813.43</v>
      </c>
    </row>
    <row r="11" spans="1:9">
      <c r="A11" s="173" t="s">
        <v>6</v>
      </c>
      <c r="B11" s="173"/>
      <c r="C11" s="32"/>
      <c r="D11" s="14"/>
      <c r="E11" s="14"/>
      <c r="F11" s="27"/>
      <c r="G11" s="116"/>
    </row>
    <row r="12" spans="1:9" ht="12.75" customHeight="1">
      <c r="A12" s="158" t="s">
        <v>7</v>
      </c>
      <c r="B12" s="159"/>
      <c r="C12" s="33">
        <f>447553</f>
        <v>447553</v>
      </c>
      <c r="D12" s="33">
        <v>1287</v>
      </c>
      <c r="E12" s="33">
        <v>25423</v>
      </c>
      <c r="F12" s="29">
        <f>SUM(C12:E12)</f>
        <v>474263</v>
      </c>
      <c r="G12" s="117">
        <v>2500</v>
      </c>
    </row>
    <row r="13" spans="1:9" ht="11.25" customHeight="1">
      <c r="A13" s="158" t="s">
        <v>8</v>
      </c>
      <c r="B13" s="159"/>
      <c r="C13" s="28"/>
      <c r="D13" s="28"/>
      <c r="E13" s="28"/>
      <c r="F13" s="29"/>
      <c r="G13" s="118"/>
      <c r="H13" s="11"/>
    </row>
    <row r="14" spans="1:9" ht="11.25" customHeight="1">
      <c r="A14" s="34"/>
      <c r="B14" s="17" t="s">
        <v>9</v>
      </c>
      <c r="C14" s="18"/>
      <c r="D14" s="18"/>
      <c r="E14" s="18"/>
      <c r="F14" s="29">
        <f t="shared" ref="F14:F22" si="1">SUM(C14:E14)</f>
        <v>0</v>
      </c>
      <c r="G14" s="77"/>
    </row>
    <row r="15" spans="1:9" ht="14.25" customHeight="1">
      <c r="A15" s="34"/>
      <c r="B15" s="17" t="s">
        <v>51</v>
      </c>
      <c r="C15" s="18">
        <v>226196</v>
      </c>
      <c r="D15" s="18"/>
      <c r="E15" s="18">
        <v>1235</v>
      </c>
      <c r="F15" s="29">
        <f t="shared" si="1"/>
        <v>227431</v>
      </c>
      <c r="G15" s="77">
        <v>35650</v>
      </c>
    </row>
    <row r="16" spans="1:9" ht="12.75" customHeight="1">
      <c r="A16" s="34"/>
      <c r="B16" s="17" t="s">
        <v>10</v>
      </c>
      <c r="C16" s="18">
        <v>70825</v>
      </c>
      <c r="D16" s="18">
        <v>3371</v>
      </c>
      <c r="E16" s="18">
        <v>5723</v>
      </c>
      <c r="F16" s="29">
        <f t="shared" si="1"/>
        <v>79919</v>
      </c>
      <c r="G16" s="119">
        <v>5241</v>
      </c>
    </row>
    <row r="17" spans="1:15" ht="10.5" customHeight="1">
      <c r="A17" s="34"/>
      <c r="B17" s="17" t="s">
        <v>11</v>
      </c>
      <c r="C17" s="18"/>
      <c r="D17" s="18"/>
      <c r="E17" s="18"/>
      <c r="F17" s="29">
        <f t="shared" si="1"/>
        <v>0</v>
      </c>
      <c r="G17" s="77"/>
    </row>
    <row r="18" spans="1:15" ht="10.5" customHeight="1">
      <c r="A18" s="34"/>
      <c r="B18" s="17" t="s">
        <v>12</v>
      </c>
      <c r="C18" s="18"/>
      <c r="D18" s="18"/>
      <c r="E18" s="18"/>
      <c r="F18" s="29">
        <f t="shared" si="1"/>
        <v>0</v>
      </c>
      <c r="G18" s="77"/>
    </row>
    <row r="19" spans="1:15" ht="11.25" customHeight="1">
      <c r="A19" s="34"/>
      <c r="B19" s="17" t="s">
        <v>13</v>
      </c>
      <c r="C19" s="18"/>
      <c r="D19" s="18"/>
      <c r="E19" s="18"/>
      <c r="F19" s="29">
        <f t="shared" si="1"/>
        <v>0</v>
      </c>
      <c r="G19" s="77"/>
    </row>
    <row r="20" spans="1:15" ht="11.25" customHeight="1">
      <c r="A20" s="34"/>
      <c r="B20" s="17" t="s">
        <v>69</v>
      </c>
      <c r="C20" s="18">
        <v>50347</v>
      </c>
      <c r="D20" s="18">
        <v>1200</v>
      </c>
      <c r="E20" s="18">
        <v>9360</v>
      </c>
      <c r="F20" s="29">
        <f t="shared" si="1"/>
        <v>60907</v>
      </c>
      <c r="G20" s="77"/>
    </row>
    <row r="21" spans="1:15" ht="12" customHeight="1">
      <c r="A21" s="34"/>
      <c r="B21" s="17" t="s">
        <v>14</v>
      </c>
      <c r="C21" s="18">
        <v>331132</v>
      </c>
      <c r="D21" s="18">
        <v>6472</v>
      </c>
      <c r="E21" s="18">
        <v>10985</v>
      </c>
      <c r="F21" s="29">
        <f>SUM(C21:E21)</f>
        <v>348589</v>
      </c>
      <c r="G21" s="118">
        <v>10061</v>
      </c>
    </row>
    <row r="22" spans="1:15" ht="12" customHeight="1">
      <c r="A22" s="160" t="s">
        <v>15</v>
      </c>
      <c r="B22" s="161"/>
      <c r="C22" s="35">
        <v>944323</v>
      </c>
      <c r="D22" s="35"/>
      <c r="E22" s="35"/>
      <c r="F22" s="29">
        <f t="shared" si="1"/>
        <v>944323</v>
      </c>
      <c r="G22" s="119">
        <v>54800</v>
      </c>
    </row>
    <row r="23" spans="1:15" ht="13.5" customHeight="1">
      <c r="A23" s="160" t="s">
        <v>16</v>
      </c>
      <c r="B23" s="161"/>
      <c r="C23" s="35"/>
      <c r="D23" s="35"/>
      <c r="E23" s="35"/>
      <c r="F23" s="29"/>
      <c r="G23" s="76"/>
    </row>
    <row r="24" spans="1:15" ht="12" customHeight="1">
      <c r="A24" s="34"/>
      <c r="B24" s="36" t="s">
        <v>17</v>
      </c>
      <c r="C24" s="35">
        <v>4391307</v>
      </c>
      <c r="D24" s="35">
        <v>170947</v>
      </c>
      <c r="E24" s="35">
        <v>292991</v>
      </c>
      <c r="F24" s="29">
        <f t="shared" ref="F24:F37" si="2">SUM(C24:E24)</f>
        <v>4855245</v>
      </c>
      <c r="G24" s="76">
        <v>198543</v>
      </c>
      <c r="H24" s="20"/>
    </row>
    <row r="25" spans="1:15" ht="12.75" customHeight="1">
      <c r="A25" s="34"/>
      <c r="B25" s="36" t="s">
        <v>18</v>
      </c>
      <c r="C25" s="35">
        <v>1144881</v>
      </c>
      <c r="D25" s="35">
        <v>42197</v>
      </c>
      <c r="E25" s="35">
        <v>75302</v>
      </c>
      <c r="F25" s="29">
        <f>SUM(C25:E25)</f>
        <v>1262380</v>
      </c>
      <c r="G25" s="76">
        <v>27355</v>
      </c>
      <c r="H25" s="20"/>
    </row>
    <row r="26" spans="1:15" ht="12.75" customHeight="1">
      <c r="A26" s="34"/>
      <c r="B26" s="36" t="s">
        <v>19</v>
      </c>
      <c r="C26" s="35">
        <v>314132</v>
      </c>
      <c r="D26" s="35">
        <v>15154</v>
      </c>
      <c r="E26" s="35">
        <v>23376</v>
      </c>
      <c r="F26" s="29">
        <f t="shared" si="2"/>
        <v>352662</v>
      </c>
      <c r="G26" s="76">
        <v>15691</v>
      </c>
      <c r="H26" s="20"/>
    </row>
    <row r="27" spans="1:15" ht="12.75" customHeight="1">
      <c r="A27" s="34"/>
      <c r="B27" s="36" t="s">
        <v>20</v>
      </c>
      <c r="C27" s="35"/>
      <c r="D27" s="35"/>
      <c r="E27" s="35"/>
      <c r="F27" s="29">
        <f t="shared" si="2"/>
        <v>0</v>
      </c>
      <c r="G27" s="76"/>
      <c r="H27" s="20"/>
    </row>
    <row r="28" spans="1:15" ht="12" customHeight="1">
      <c r="A28" s="34"/>
      <c r="B28" s="36" t="s">
        <v>21</v>
      </c>
      <c r="C28" s="35">
        <f>142369+181296</f>
        <v>323665</v>
      </c>
      <c r="D28" s="35">
        <v>5980</v>
      </c>
      <c r="E28" s="35">
        <v>9402</v>
      </c>
      <c r="F28" s="29">
        <f>SUM(C28:E28)</f>
        <v>339047</v>
      </c>
      <c r="G28" s="118">
        <v>2500</v>
      </c>
      <c r="H28" s="20"/>
      <c r="I28" s="20"/>
      <c r="K28" s="11"/>
      <c r="L28" s="11"/>
      <c r="M28" s="11"/>
      <c r="O28" s="104"/>
    </row>
    <row r="29" spans="1:15" ht="3" customHeight="1">
      <c r="A29" s="34"/>
      <c r="B29" s="36"/>
      <c r="C29" s="35"/>
      <c r="D29" s="35"/>
      <c r="E29" s="35"/>
      <c r="F29" s="29"/>
      <c r="G29" s="118"/>
      <c r="H29" s="20"/>
      <c r="I29" s="20"/>
    </row>
    <row r="30" spans="1:15">
      <c r="A30" s="160" t="s">
        <v>22</v>
      </c>
      <c r="B30" s="161"/>
      <c r="C30" s="35"/>
      <c r="D30" s="35"/>
      <c r="E30" s="35"/>
      <c r="F30" s="29">
        <f t="shared" si="2"/>
        <v>0</v>
      </c>
      <c r="G30" s="118"/>
      <c r="H30" s="20"/>
      <c r="I30" s="19"/>
      <c r="O30" s="19"/>
    </row>
    <row r="31" spans="1:15" ht="12" customHeight="1">
      <c r="A31" s="38"/>
      <c r="B31" s="36" t="s">
        <v>23</v>
      </c>
      <c r="C31" s="18"/>
      <c r="D31" s="18"/>
      <c r="E31" s="18"/>
      <c r="F31" s="29">
        <f>SUM(C31:E31)</f>
        <v>0</v>
      </c>
      <c r="G31" s="120"/>
      <c r="H31" s="20"/>
      <c r="I31" s="20"/>
      <c r="K31" s="11"/>
      <c r="O31" s="92"/>
    </row>
    <row r="32" spans="1:15" ht="14.25" customHeight="1">
      <c r="A32" s="38"/>
      <c r="B32" s="36" t="s">
        <v>24</v>
      </c>
      <c r="C32" s="18">
        <v>145067</v>
      </c>
      <c r="D32" s="18">
        <v>873</v>
      </c>
      <c r="E32" s="18">
        <v>1482</v>
      </c>
      <c r="F32" s="29">
        <f>SUM(C32:E32)</f>
        <v>147422</v>
      </c>
      <c r="G32" s="120">
        <v>5653</v>
      </c>
      <c r="H32" s="20"/>
      <c r="K32" s="11"/>
    </row>
    <row r="33" spans="1:8" ht="14.25" customHeight="1">
      <c r="A33" s="38"/>
      <c r="B33" s="36" t="s">
        <v>25</v>
      </c>
      <c r="C33" s="18"/>
      <c r="D33" s="18"/>
      <c r="E33" s="18"/>
      <c r="F33" s="29">
        <f t="shared" si="2"/>
        <v>0</v>
      </c>
      <c r="G33" s="79"/>
      <c r="H33" s="20"/>
    </row>
    <row r="34" spans="1:8" ht="24.6" customHeight="1">
      <c r="A34" s="38"/>
      <c r="B34" s="133" t="s">
        <v>26</v>
      </c>
      <c r="C34" s="18"/>
      <c r="D34" s="18"/>
      <c r="E34" s="18"/>
      <c r="F34" s="29">
        <f t="shared" si="2"/>
        <v>0</v>
      </c>
      <c r="G34" s="79"/>
      <c r="H34" s="20"/>
    </row>
    <row r="35" spans="1:8" ht="22.8" customHeight="1">
      <c r="A35" s="179" t="s">
        <v>27</v>
      </c>
      <c r="B35" s="180"/>
      <c r="C35" s="35"/>
      <c r="D35" s="35"/>
      <c r="E35" s="35"/>
      <c r="F35" s="29">
        <f>SUM(C35:E35)</f>
        <v>0</v>
      </c>
      <c r="G35" s="76"/>
      <c r="H35" s="20"/>
    </row>
    <row r="36" spans="1:8" ht="13.05" customHeight="1">
      <c r="A36" s="160" t="s">
        <v>28</v>
      </c>
      <c r="B36" s="161"/>
      <c r="C36" s="35"/>
      <c r="D36" s="35"/>
      <c r="E36" s="35"/>
      <c r="F36" s="29">
        <f t="shared" si="2"/>
        <v>0</v>
      </c>
      <c r="G36" s="76"/>
      <c r="H36" s="20"/>
    </row>
    <row r="37" spans="1:8" ht="13.05" customHeight="1">
      <c r="A37" s="160" t="s">
        <v>29</v>
      </c>
      <c r="B37" s="161"/>
      <c r="C37" s="35"/>
      <c r="D37" s="35"/>
      <c r="E37" s="35"/>
      <c r="F37" s="29">
        <f t="shared" si="2"/>
        <v>0</v>
      </c>
      <c r="G37" s="76"/>
      <c r="H37" s="20"/>
    </row>
    <row r="38" spans="1:8" ht="13.05" customHeight="1">
      <c r="A38" s="160" t="s">
        <v>30</v>
      </c>
      <c r="B38" s="161"/>
      <c r="C38" s="39">
        <v>47069</v>
      </c>
      <c r="D38" s="39">
        <v>2240</v>
      </c>
      <c r="E38" s="39">
        <v>3803</v>
      </c>
      <c r="F38" s="29">
        <f>SUM(C38:E38)</f>
        <v>53112</v>
      </c>
      <c r="G38" s="118">
        <v>3483</v>
      </c>
      <c r="H38" s="20"/>
    </row>
    <row r="39" spans="1:8" ht="13.05" customHeight="1">
      <c r="A39" s="174" t="s">
        <v>31</v>
      </c>
      <c r="B39" s="174"/>
      <c r="C39" s="4">
        <f>SUM(C12:C38)</f>
        <v>8436497</v>
      </c>
      <c r="D39" s="4">
        <f>SUM(D12:D38)</f>
        <v>249721</v>
      </c>
      <c r="E39" s="4">
        <f>SUM(E12:E38)</f>
        <v>459082</v>
      </c>
      <c r="F39" s="5">
        <f>SUM(F12:F38)</f>
        <v>9145300</v>
      </c>
      <c r="G39" s="3">
        <f>SUM(G12:G38)</f>
        <v>361477</v>
      </c>
      <c r="H39" s="20"/>
    </row>
    <row r="40" spans="1:8" ht="13.05" customHeight="1">
      <c r="A40" s="174" t="s">
        <v>32</v>
      </c>
      <c r="B40" s="174"/>
      <c r="C40" s="4">
        <f>C10-C39</f>
        <v>-1365902.58</v>
      </c>
      <c r="D40" s="4">
        <f>D10-D39</f>
        <v>74370.919999999984</v>
      </c>
      <c r="E40" s="4">
        <f>E10-E39</f>
        <v>91624.640000000014</v>
      </c>
      <c r="F40" s="5">
        <f>F10-F39</f>
        <v>-1199907.0200000005</v>
      </c>
      <c r="G40" s="3">
        <f t="shared" ref="G40" si="3">G10-G39</f>
        <v>143336.43</v>
      </c>
    </row>
    <row r="41" spans="1:8" ht="13.05" customHeight="1">
      <c r="A41" s="181" t="s">
        <v>33</v>
      </c>
      <c r="B41" s="181"/>
      <c r="C41" s="123"/>
      <c r="D41" s="124"/>
      <c r="E41" s="124"/>
      <c r="F41" s="132"/>
      <c r="G41" s="121"/>
    </row>
    <row r="42" spans="1:8" ht="13.05" customHeight="1">
      <c r="A42" s="160" t="s">
        <v>34</v>
      </c>
      <c r="B42" s="160"/>
      <c r="C42" s="40">
        <v>0</v>
      </c>
      <c r="D42" s="40"/>
      <c r="E42" s="41"/>
      <c r="F42" s="128">
        <v>0</v>
      </c>
      <c r="G42" s="106"/>
    </row>
    <row r="43" spans="1:8" ht="13.05" customHeight="1">
      <c r="A43" s="160" t="s">
        <v>36</v>
      </c>
      <c r="B43" s="160"/>
      <c r="C43" s="35">
        <v>0</v>
      </c>
      <c r="D43" s="35"/>
      <c r="E43" s="41"/>
      <c r="F43" s="129">
        <v>0</v>
      </c>
      <c r="G43" s="28"/>
    </row>
    <row r="44" spans="1:8" ht="13.05" customHeight="1">
      <c r="A44" s="160" t="s">
        <v>37</v>
      </c>
      <c r="B44" s="160"/>
      <c r="C44" s="35"/>
      <c r="D44" s="35"/>
      <c r="E44" s="41"/>
      <c r="F44" s="129">
        <f>SUM(C44:E44)</f>
        <v>0</v>
      </c>
      <c r="G44" s="28"/>
    </row>
    <row r="45" spans="1:8" ht="13.05" customHeight="1">
      <c r="A45" s="34"/>
      <c r="B45" s="23" t="s">
        <v>38</v>
      </c>
      <c r="C45" s="35">
        <f>9197</f>
        <v>9197</v>
      </c>
      <c r="D45" s="35">
        <v>438</v>
      </c>
      <c r="E45" s="41">
        <v>743</v>
      </c>
      <c r="F45" s="129">
        <f>SUM(C45:E45)</f>
        <v>10378</v>
      </c>
      <c r="G45" s="130">
        <v>681</v>
      </c>
    </row>
    <row r="46" spans="1:8" ht="13.05" customHeight="1">
      <c r="A46" s="34"/>
      <c r="B46" s="23" t="s">
        <v>39</v>
      </c>
      <c r="C46" s="35"/>
      <c r="D46" s="35"/>
      <c r="E46" s="41"/>
      <c r="F46" s="129">
        <f>SUM(C46:E46)</f>
        <v>0</v>
      </c>
      <c r="G46" s="130"/>
    </row>
    <row r="47" spans="1:8" ht="13.05" customHeight="1">
      <c r="A47" s="34"/>
      <c r="B47" s="24" t="s">
        <v>35</v>
      </c>
      <c r="C47" s="35">
        <v>8243</v>
      </c>
      <c r="D47" s="35">
        <v>392</v>
      </c>
      <c r="E47" s="41">
        <v>666</v>
      </c>
      <c r="F47" s="129">
        <f>SUM(C47:E47)</f>
        <v>9301</v>
      </c>
      <c r="G47" s="28">
        <v>610</v>
      </c>
    </row>
    <row r="48" spans="1:8" ht="13.05" customHeight="1">
      <c r="A48" s="160" t="s">
        <v>40</v>
      </c>
      <c r="B48" s="160"/>
      <c r="C48" s="35"/>
      <c r="D48" s="35"/>
      <c r="E48" s="41"/>
      <c r="F48" s="129">
        <v>0</v>
      </c>
      <c r="G48" s="105"/>
    </row>
    <row r="49" spans="1:7" ht="13.05" customHeight="1">
      <c r="A49" s="174" t="s">
        <v>41</v>
      </c>
      <c r="B49" s="174"/>
      <c r="C49" s="7">
        <f>SUM(C42:C48)</f>
        <v>17440</v>
      </c>
      <c r="D49" s="7">
        <f>SUM(D42:D48)</f>
        <v>830</v>
      </c>
      <c r="E49" s="6">
        <f>SUM(E42:E48)</f>
        <v>1409</v>
      </c>
      <c r="F49" s="125">
        <f>SUM(F42:F48)</f>
        <v>19679</v>
      </c>
      <c r="G49" s="131">
        <f t="shared" ref="G49" si="4">SUM(G42:G48)</f>
        <v>1291</v>
      </c>
    </row>
    <row r="50" spans="1:7" ht="13.05" customHeight="1">
      <c r="A50" s="181" t="s">
        <v>42</v>
      </c>
      <c r="B50" s="181"/>
      <c r="C50" s="123"/>
      <c r="D50" s="124"/>
      <c r="E50" s="124"/>
      <c r="F50" s="132"/>
      <c r="G50" s="109"/>
    </row>
    <row r="51" spans="1:7" ht="13.05" customHeight="1">
      <c r="A51" s="183" t="s">
        <v>43</v>
      </c>
      <c r="B51" s="183"/>
      <c r="C51" s="40">
        <v>0</v>
      </c>
      <c r="D51" s="40"/>
      <c r="E51" s="40"/>
      <c r="F51" s="40">
        <v>0</v>
      </c>
      <c r="G51" s="76"/>
    </row>
    <row r="52" spans="1:7" ht="13.05" customHeight="1">
      <c r="A52" s="184" t="s">
        <v>44</v>
      </c>
      <c r="B52" s="184"/>
      <c r="C52" s="39">
        <v>0</v>
      </c>
      <c r="D52" s="39"/>
      <c r="E52" s="39"/>
      <c r="F52" s="39">
        <v>0</v>
      </c>
      <c r="G52" s="76"/>
    </row>
    <row r="53" spans="1:7" ht="13.05" customHeight="1">
      <c r="A53" s="174" t="s">
        <v>45</v>
      </c>
      <c r="B53" s="174"/>
      <c r="C53" s="5">
        <v>0</v>
      </c>
      <c r="D53" s="5"/>
      <c r="E53" s="5"/>
      <c r="F53" s="5">
        <v>0</v>
      </c>
      <c r="G53" s="121"/>
    </row>
    <row r="54" spans="1:7" ht="13.05" customHeight="1">
      <c r="A54" s="174" t="s">
        <v>46</v>
      </c>
      <c r="B54" s="174"/>
      <c r="C54" s="5">
        <f>C40-C49</f>
        <v>-1383342.58</v>
      </c>
      <c r="D54" s="5">
        <f>D40-D49</f>
        <v>73540.919999999984</v>
      </c>
      <c r="E54" s="5">
        <f>E40-E49</f>
        <v>90215.640000000014</v>
      </c>
      <c r="F54" s="5">
        <f>F40-F49</f>
        <v>-1219586.0200000005</v>
      </c>
      <c r="G54" s="3">
        <f>G40-G49</f>
        <v>142045.43</v>
      </c>
    </row>
    <row r="55" spans="1:7" ht="13.05" customHeight="1">
      <c r="A55" s="177" t="s">
        <v>47</v>
      </c>
      <c r="B55" s="178"/>
      <c r="C55" s="40">
        <v>0</v>
      </c>
      <c r="D55" s="40"/>
      <c r="E55" s="40"/>
      <c r="F55" s="40"/>
      <c r="G55" s="122"/>
    </row>
    <row r="56" spans="1:7" ht="13.05" customHeight="1">
      <c r="A56" s="185" t="s">
        <v>48</v>
      </c>
      <c r="B56" s="186"/>
      <c r="C56" s="35"/>
      <c r="D56" s="35"/>
      <c r="E56" s="35"/>
      <c r="F56" s="35">
        <v>0</v>
      </c>
      <c r="G56" s="76"/>
    </row>
    <row r="57" spans="1:7" ht="13.05" customHeight="1">
      <c r="A57" s="174" t="s">
        <v>49</v>
      </c>
      <c r="B57" s="174"/>
      <c r="C57" s="5">
        <f>C54</f>
        <v>-1383342.58</v>
      </c>
      <c r="D57" s="5">
        <f>D54</f>
        <v>73540.919999999984</v>
      </c>
      <c r="E57" s="5">
        <f>E54</f>
        <v>90215.640000000014</v>
      </c>
      <c r="F57" s="5">
        <f>F54</f>
        <v>-1219586.0200000005</v>
      </c>
      <c r="G57" s="3">
        <f t="shared" ref="G57" si="5">G54-G56</f>
        <v>142045.43</v>
      </c>
    </row>
    <row r="58" spans="1:7">
      <c r="F58" s="11"/>
      <c r="G58" s="92"/>
    </row>
    <row r="59" spans="1:7">
      <c r="F59" s="11"/>
    </row>
    <row r="60" spans="1:7">
      <c r="F60" s="11"/>
    </row>
    <row r="62" spans="1:7">
      <c r="F62" s="19"/>
    </row>
    <row r="63" spans="1:7">
      <c r="F63" s="19"/>
    </row>
    <row r="64" spans="1:7">
      <c r="F64" s="92"/>
    </row>
    <row r="65" spans="6:6">
      <c r="F65" s="11"/>
    </row>
    <row r="67" spans="6:6">
      <c r="F67" s="11"/>
    </row>
  </sheetData>
  <mergeCells count="39">
    <mergeCell ref="A57:B57"/>
    <mergeCell ref="A49:B49"/>
    <mergeCell ref="A50:B50"/>
    <mergeCell ref="A51:B51"/>
    <mergeCell ref="A52:B52"/>
    <mergeCell ref="A53:B53"/>
    <mergeCell ref="A54:B54"/>
    <mergeCell ref="A56:B56"/>
    <mergeCell ref="A39:B39"/>
    <mergeCell ref="A40:B40"/>
    <mergeCell ref="C1:G1"/>
    <mergeCell ref="C2:G2"/>
    <mergeCell ref="A55:B55"/>
    <mergeCell ref="A48:B48"/>
    <mergeCell ref="A30:B30"/>
    <mergeCell ref="A35:B35"/>
    <mergeCell ref="A36:B36"/>
    <mergeCell ref="A42:B42"/>
    <mergeCell ref="A41:B41"/>
    <mergeCell ref="A43:B43"/>
    <mergeCell ref="A44:B44"/>
    <mergeCell ref="A4:B5"/>
    <mergeCell ref="A23:B23"/>
    <mergeCell ref="A6:B6"/>
    <mergeCell ref="A13:B13"/>
    <mergeCell ref="A22:B22"/>
    <mergeCell ref="A37:B37"/>
    <mergeCell ref="A38:B38"/>
    <mergeCell ref="C3:G3"/>
    <mergeCell ref="C4:C6"/>
    <mergeCell ref="D4:D6"/>
    <mergeCell ref="E4:E6"/>
    <mergeCell ref="F4:F6"/>
    <mergeCell ref="G4:G6"/>
    <mergeCell ref="A7:B7"/>
    <mergeCell ref="A8:B8"/>
    <mergeCell ref="A10:B10"/>
    <mergeCell ref="A11:B11"/>
    <mergeCell ref="A12:B12"/>
  </mergeCells>
  <pageMargins left="0.19685039370078741" right="0.19685039370078741" top="0.15748031496062992" bottom="0.15748031496062992" header="0.23622047244094491" footer="0.19685039370078741"/>
  <pageSetup paperSize="9" scale="83" fitToHeight="2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7" r:id="rId4">
          <objectPr defaultSize="0" autoPict="0" r:id="rId5">
            <anchor moveWithCells="1" sizeWithCells="1">
              <from>
                <xdr:col>0</xdr:col>
                <xdr:colOff>205740</xdr:colOff>
                <xdr:row>0</xdr:row>
                <xdr:rowOff>91440</xdr:rowOff>
              </from>
              <to>
                <xdr:col>1</xdr:col>
                <xdr:colOff>784860</xdr:colOff>
                <xdr:row>2</xdr:row>
                <xdr:rowOff>144780</xdr:rowOff>
              </to>
            </anchor>
          </objectPr>
        </oleObject>
      </mc:Choice>
      <mc:Fallback>
        <oleObject progId="MSPhotoEd.3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65"/>
  <sheetViews>
    <sheetView topLeftCell="A10" zoomScaleNormal="100" workbookViewId="0">
      <selection activeCell="B3" sqref="B3"/>
    </sheetView>
  </sheetViews>
  <sheetFormatPr defaultColWidth="9.109375" defaultRowHeight="14.4"/>
  <cols>
    <col min="1" max="1" width="3" style="10" customWidth="1"/>
    <col min="2" max="2" width="65.88671875" style="10" customWidth="1"/>
    <col min="3" max="8" width="16.77734375" style="10" customWidth="1"/>
    <col min="9" max="9" width="17.5546875" style="10" customWidth="1"/>
    <col min="10" max="14" width="9.109375" style="10" customWidth="1"/>
    <col min="15" max="15" width="14" style="10" customWidth="1"/>
    <col min="16" max="16" width="9.5546875" style="10" customWidth="1"/>
    <col min="17" max="17" width="17.6640625" style="10" customWidth="1"/>
    <col min="18" max="18" width="16.88671875" style="10" customWidth="1"/>
    <col min="19" max="19" width="12.109375" style="10" customWidth="1"/>
    <col min="20" max="20" width="9.109375" style="10"/>
    <col min="21" max="21" width="11.5546875" style="10" customWidth="1"/>
    <col min="22" max="16384" width="9.109375" style="10"/>
  </cols>
  <sheetData>
    <row r="1" spans="1:16" ht="30" customHeight="1">
      <c r="A1" s="26"/>
      <c r="B1" s="44"/>
      <c r="C1" s="162" t="s">
        <v>74</v>
      </c>
      <c r="D1" s="163"/>
      <c r="E1" s="163"/>
      <c r="F1" s="163"/>
      <c r="G1" s="163"/>
      <c r="H1" s="164"/>
    </row>
    <row r="2" spans="1:16" ht="19.95" customHeight="1">
      <c r="A2" s="99"/>
      <c r="B2" s="102"/>
      <c r="C2" s="162" t="s">
        <v>50</v>
      </c>
      <c r="D2" s="175"/>
      <c r="E2" s="175"/>
      <c r="F2" s="175"/>
      <c r="G2" s="175"/>
      <c r="H2" s="176"/>
    </row>
    <row r="3" spans="1:16" ht="19.95" customHeight="1">
      <c r="A3" s="99"/>
      <c r="B3" s="102"/>
      <c r="C3" s="187" t="s">
        <v>72</v>
      </c>
      <c r="D3" s="188"/>
      <c r="E3" s="188"/>
      <c r="F3" s="188"/>
      <c r="G3" s="188"/>
      <c r="H3" s="189"/>
    </row>
    <row r="4" spans="1:16" ht="22.05" customHeight="1">
      <c r="A4" s="182"/>
      <c r="B4" s="182"/>
      <c r="C4" s="168" t="s">
        <v>54</v>
      </c>
      <c r="D4" s="168" t="s">
        <v>55</v>
      </c>
      <c r="E4" s="168" t="s">
        <v>56</v>
      </c>
      <c r="F4" s="168" t="s">
        <v>57</v>
      </c>
      <c r="G4" s="168" t="s">
        <v>58</v>
      </c>
      <c r="H4" s="168" t="s">
        <v>0</v>
      </c>
    </row>
    <row r="5" spans="1:16" ht="22.05" customHeight="1">
      <c r="A5" s="182"/>
      <c r="B5" s="182"/>
      <c r="C5" s="169"/>
      <c r="D5" s="169"/>
      <c r="E5" s="169"/>
      <c r="F5" s="169"/>
      <c r="G5" s="169"/>
      <c r="H5" s="169"/>
    </row>
    <row r="6" spans="1:16" ht="19.95" customHeight="1">
      <c r="A6" s="173" t="s">
        <v>1</v>
      </c>
      <c r="B6" s="173"/>
      <c r="C6" s="170"/>
      <c r="D6" s="170"/>
      <c r="E6" s="170"/>
      <c r="F6" s="170"/>
      <c r="G6" s="170"/>
      <c r="H6" s="170"/>
    </row>
    <row r="7" spans="1:16" ht="13.5" customHeight="1">
      <c r="A7" s="190" t="s">
        <v>2</v>
      </c>
      <c r="B7" s="191"/>
      <c r="C7" s="28">
        <f>12875485.04+41270-28697</f>
        <v>12888058.039999999</v>
      </c>
      <c r="D7" s="28">
        <v>2191009.5099999998</v>
      </c>
      <c r="E7" s="28">
        <v>512943.79</v>
      </c>
      <c r="F7" s="28">
        <v>282624.96000000002</v>
      </c>
      <c r="G7" s="45">
        <v>854327.04</v>
      </c>
      <c r="H7" s="46">
        <f>C7+D7+E7+F7+G7</f>
        <v>16728963.34</v>
      </c>
      <c r="I7" s="11"/>
    </row>
    <row r="8" spans="1:16" ht="13.5" customHeight="1">
      <c r="A8" s="194" t="s">
        <v>3</v>
      </c>
      <c r="B8" s="194"/>
      <c r="C8" s="28"/>
      <c r="D8" s="28"/>
      <c r="E8" s="28"/>
      <c r="F8" s="28"/>
      <c r="G8" s="48"/>
      <c r="H8" s="42">
        <f>SUM(C8:G8)</f>
        <v>0</v>
      </c>
      <c r="I8" s="19"/>
    </row>
    <row r="9" spans="1:16" ht="12" customHeight="1">
      <c r="A9" s="15"/>
      <c r="B9" s="25" t="s">
        <v>4</v>
      </c>
      <c r="C9" s="28">
        <f>22825.3+5304.88+480219.46+649488.01+20599.83+15123.55+130725.33+30797.34+255137.48+21450+70000+4609</f>
        <v>1706280.1800000002</v>
      </c>
      <c r="D9" s="28">
        <f>120845+102029</f>
        <v>222874</v>
      </c>
      <c r="E9" s="28">
        <f>10670+17640</f>
        <v>28310</v>
      </c>
      <c r="F9" s="28"/>
      <c r="G9" s="28">
        <v>0</v>
      </c>
      <c r="H9" s="46">
        <f>C9+D9+E9+F9+G9</f>
        <v>1957464.1800000002</v>
      </c>
      <c r="I9" s="11"/>
      <c r="O9" s="11"/>
    </row>
    <row r="10" spans="1:16" ht="15.75" customHeight="1">
      <c r="A10" s="193" t="s">
        <v>5</v>
      </c>
      <c r="B10" s="193"/>
      <c r="C10" s="3">
        <f>SUM(C7:C9)</f>
        <v>14594338.219999999</v>
      </c>
      <c r="D10" s="3">
        <f>SUM(D7:D9)</f>
        <v>2413883.5099999998</v>
      </c>
      <c r="E10" s="3">
        <f>SUM(E7:E9)</f>
        <v>541253.79</v>
      </c>
      <c r="F10" s="3">
        <f t="shared" ref="F10:G10" si="0">SUM(F7:F9)</f>
        <v>282624.96000000002</v>
      </c>
      <c r="G10" s="9">
        <f t="shared" si="0"/>
        <v>854327.04</v>
      </c>
      <c r="H10" s="3">
        <f>SUM(H7:H9)</f>
        <v>18686427.52</v>
      </c>
      <c r="I10" s="92"/>
      <c r="O10" s="19"/>
    </row>
    <row r="11" spans="1:16" ht="14.25" customHeight="1">
      <c r="A11" s="193" t="s">
        <v>6</v>
      </c>
      <c r="B11" s="193"/>
      <c r="C11" s="14"/>
      <c r="D11" s="14"/>
      <c r="E11" s="14"/>
      <c r="F11" s="14"/>
      <c r="G11" s="50"/>
      <c r="H11" s="27"/>
      <c r="I11" s="92"/>
    </row>
    <row r="12" spans="1:16" ht="13.5" customHeight="1">
      <c r="A12" s="194" t="s">
        <v>7</v>
      </c>
      <c r="B12" s="194"/>
      <c r="C12" s="33">
        <f>922263-2500+624</f>
        <v>920387</v>
      </c>
      <c r="D12" s="33">
        <v>56505</v>
      </c>
      <c r="E12" s="51">
        <v>43815</v>
      </c>
      <c r="F12" s="33">
        <v>14572</v>
      </c>
      <c r="G12" s="52">
        <v>3393</v>
      </c>
      <c r="H12" s="53">
        <f>SUM(C12:G12)</f>
        <v>1038672</v>
      </c>
      <c r="O12" s="11"/>
      <c r="P12" s="11"/>
    </row>
    <row r="13" spans="1:16" ht="13.5" customHeight="1">
      <c r="A13" s="194" t="s">
        <v>8</v>
      </c>
      <c r="B13" s="194"/>
      <c r="C13" s="28"/>
      <c r="D13" s="28"/>
      <c r="E13" s="54"/>
      <c r="F13" s="28"/>
      <c r="G13" s="55"/>
      <c r="H13" s="29">
        <v>0</v>
      </c>
    </row>
    <row r="14" spans="1:16" ht="12.75" hidden="1" customHeight="1">
      <c r="A14" s="16"/>
      <c r="B14" s="57" t="s">
        <v>9</v>
      </c>
      <c r="C14" s="18"/>
      <c r="D14" s="18"/>
      <c r="E14" s="58"/>
      <c r="F14" s="18"/>
      <c r="G14" s="18"/>
      <c r="H14" s="29">
        <f t="shared" ref="H14:H22" si="1">SUM(C14:G14)</f>
        <v>0</v>
      </c>
    </row>
    <row r="15" spans="1:16" ht="12" customHeight="1">
      <c r="A15" s="16"/>
      <c r="B15" s="57" t="s">
        <v>51</v>
      </c>
      <c r="C15" s="18">
        <v>650821</v>
      </c>
      <c r="D15" s="18">
        <v>210105</v>
      </c>
      <c r="E15" s="58">
        <v>52731</v>
      </c>
      <c r="F15" s="18">
        <v>23006</v>
      </c>
      <c r="G15" s="18">
        <v>49913</v>
      </c>
      <c r="H15" s="29">
        <f t="shared" si="1"/>
        <v>986576</v>
      </c>
      <c r="O15" s="11"/>
    </row>
    <row r="16" spans="1:16" ht="12.75" customHeight="1">
      <c r="A16" s="16"/>
      <c r="B16" s="57" t="s">
        <v>10</v>
      </c>
      <c r="C16" s="18">
        <v>135103</v>
      </c>
      <c r="D16" s="18">
        <v>22749</v>
      </c>
      <c r="E16" s="58">
        <v>5326</v>
      </c>
      <c r="F16" s="18">
        <v>2946</v>
      </c>
      <c r="G16" s="60">
        <v>8867</v>
      </c>
      <c r="H16" s="29">
        <f t="shared" si="1"/>
        <v>174991</v>
      </c>
      <c r="O16" s="11"/>
    </row>
    <row r="17" spans="1:21" ht="12" customHeight="1">
      <c r="A17" s="16"/>
      <c r="B17" s="57" t="s">
        <v>11</v>
      </c>
      <c r="C17" s="18"/>
      <c r="D17" s="18"/>
      <c r="E17" s="58"/>
      <c r="F17" s="18"/>
      <c r="G17" s="18"/>
      <c r="H17" s="29">
        <f t="shared" si="1"/>
        <v>0</v>
      </c>
    </row>
    <row r="18" spans="1:21" ht="12" customHeight="1">
      <c r="A18" s="16"/>
      <c r="B18" s="57" t="s">
        <v>12</v>
      </c>
      <c r="C18" s="18"/>
      <c r="D18" s="18"/>
      <c r="E18" s="58"/>
      <c r="F18" s="18"/>
      <c r="G18" s="18"/>
      <c r="H18" s="29">
        <f t="shared" si="1"/>
        <v>0</v>
      </c>
    </row>
    <row r="19" spans="1:21" ht="12.75" customHeight="1">
      <c r="A19" s="16"/>
      <c r="B19" s="57" t="s">
        <v>13</v>
      </c>
      <c r="C19" s="18"/>
      <c r="D19" s="18"/>
      <c r="E19" s="58"/>
      <c r="F19" s="18"/>
      <c r="G19" s="18"/>
      <c r="H19" s="29">
        <f t="shared" si="1"/>
        <v>0</v>
      </c>
    </row>
    <row r="20" spans="1:21" ht="13.5" customHeight="1">
      <c r="A20" s="16"/>
      <c r="B20" s="57" t="s">
        <v>67</v>
      </c>
      <c r="C20" s="18">
        <v>190183</v>
      </c>
      <c r="D20" s="18"/>
      <c r="E20" s="58"/>
      <c r="F20" s="18">
        <v>7106</v>
      </c>
      <c r="G20" s="18"/>
      <c r="H20" s="29">
        <f t="shared" si="1"/>
        <v>197289</v>
      </c>
      <c r="O20" s="11"/>
    </row>
    <row r="21" spans="1:21" ht="12" customHeight="1">
      <c r="A21" s="16"/>
      <c r="B21" s="57" t="s">
        <v>14</v>
      </c>
      <c r="C21" s="28">
        <f>1408596+13312</f>
        <v>1421908</v>
      </c>
      <c r="D21" s="28">
        <v>1864421</v>
      </c>
      <c r="E21" s="54">
        <v>201500</v>
      </c>
      <c r="F21" s="28">
        <v>5656</v>
      </c>
      <c r="G21" s="55">
        <v>61045</v>
      </c>
      <c r="H21" s="29">
        <f t="shared" si="1"/>
        <v>3554530</v>
      </c>
      <c r="I21" s="11"/>
      <c r="O21" s="11"/>
    </row>
    <row r="22" spans="1:21" ht="15" customHeight="1">
      <c r="A22" s="192" t="s">
        <v>15</v>
      </c>
      <c r="B22" s="192"/>
      <c r="C22" s="28">
        <v>409580</v>
      </c>
      <c r="D22" s="28">
        <v>65470</v>
      </c>
      <c r="E22" s="54">
        <v>114993</v>
      </c>
      <c r="F22" s="28"/>
      <c r="G22" s="60"/>
      <c r="H22" s="29">
        <f t="shared" si="1"/>
        <v>590043</v>
      </c>
      <c r="I22" s="11"/>
      <c r="O22" s="11"/>
    </row>
    <row r="23" spans="1:21" ht="12.75" customHeight="1">
      <c r="A23" s="192" t="s">
        <v>16</v>
      </c>
      <c r="B23" s="192"/>
      <c r="C23" s="28"/>
      <c r="D23" s="28"/>
      <c r="E23" s="54"/>
      <c r="F23" s="28"/>
      <c r="G23" s="28"/>
      <c r="H23" s="29"/>
      <c r="I23" s="11"/>
    </row>
    <row r="24" spans="1:21" ht="15" customHeight="1">
      <c r="A24" s="15"/>
      <c r="B24" s="61" t="s">
        <v>17</v>
      </c>
      <c r="C24" s="28">
        <v>5978611</v>
      </c>
      <c r="D24" s="28">
        <v>477695</v>
      </c>
      <c r="E24" s="54">
        <v>279086</v>
      </c>
      <c r="F24" s="28">
        <v>146707</v>
      </c>
      <c r="G24" s="28">
        <v>625334</v>
      </c>
      <c r="H24" s="29">
        <f>SUM(C24:G24)</f>
        <v>7507433</v>
      </c>
      <c r="I24" s="11"/>
      <c r="O24" s="11"/>
    </row>
    <row r="25" spans="1:21" ht="13.5" customHeight="1">
      <c r="A25" s="15"/>
      <c r="B25" s="61" t="s">
        <v>18</v>
      </c>
      <c r="C25" s="28">
        <f>1509681</f>
        <v>1509681</v>
      </c>
      <c r="D25" s="28">
        <v>123209</v>
      </c>
      <c r="E25" s="54">
        <v>71663</v>
      </c>
      <c r="F25" s="28">
        <v>37076</v>
      </c>
      <c r="G25" s="28">
        <v>180288</v>
      </c>
      <c r="H25" s="29">
        <f>SUM(C25:G25)</f>
        <v>1921917</v>
      </c>
      <c r="I25" s="11"/>
      <c r="O25" s="11"/>
    </row>
    <row r="26" spans="1:21" ht="12.75" customHeight="1">
      <c r="A26" s="15"/>
      <c r="B26" s="61" t="s">
        <v>19</v>
      </c>
      <c r="C26" s="91">
        <f>417998-12585</f>
        <v>405413</v>
      </c>
      <c r="D26" s="28">
        <v>38086</v>
      </c>
      <c r="E26" s="54">
        <v>21317</v>
      </c>
      <c r="F26" s="28">
        <v>18820</v>
      </c>
      <c r="G26" s="28">
        <v>50203</v>
      </c>
      <c r="H26" s="29">
        <f>SUM(C26:G26)</f>
        <v>533839</v>
      </c>
      <c r="I26" s="11"/>
      <c r="O26" s="11"/>
    </row>
    <row r="27" spans="1:21" ht="9.75" customHeight="1">
      <c r="A27" s="15"/>
      <c r="B27" s="61" t="s">
        <v>20</v>
      </c>
      <c r="C27" s="28"/>
      <c r="D27" s="28"/>
      <c r="E27" s="28"/>
      <c r="F27" s="28"/>
      <c r="G27" s="28"/>
      <c r="H27" s="29">
        <f>SUM(C27:G27)</f>
        <v>0</v>
      </c>
    </row>
    <row r="28" spans="1:21" ht="13.5" customHeight="1">
      <c r="A28" s="15"/>
      <c r="B28" s="61" t="s">
        <v>21</v>
      </c>
      <c r="C28" s="28">
        <f>241327+271944+68821+4972</f>
        <v>587064</v>
      </c>
      <c r="D28" s="28">
        <v>22905</v>
      </c>
      <c r="E28" s="54">
        <v>7764</v>
      </c>
      <c r="F28" s="28">
        <v>6354</v>
      </c>
      <c r="G28" s="55">
        <v>14094</v>
      </c>
      <c r="H28" s="29">
        <f>SUM(C28:G28)</f>
        <v>638181</v>
      </c>
      <c r="I28" s="11"/>
      <c r="O28" s="11" t="s">
        <v>70</v>
      </c>
      <c r="P28" s="11"/>
      <c r="Q28" s="11"/>
      <c r="R28" s="11"/>
      <c r="S28" s="11"/>
      <c r="T28" s="11"/>
      <c r="U28" s="11"/>
    </row>
    <row r="29" spans="1:21" ht="15" hidden="1" customHeight="1">
      <c r="A29" s="15"/>
      <c r="B29" s="36"/>
      <c r="C29" s="28"/>
      <c r="D29" s="28"/>
      <c r="E29" s="54"/>
      <c r="F29" s="28"/>
      <c r="G29" s="55"/>
      <c r="H29" s="29"/>
      <c r="I29" s="20"/>
      <c r="O29" s="11"/>
      <c r="P29" s="11"/>
      <c r="T29" s="11"/>
    </row>
    <row r="30" spans="1:21" ht="13.5" customHeight="1">
      <c r="A30" s="192" t="s">
        <v>22</v>
      </c>
      <c r="B30" s="192"/>
      <c r="C30" s="28"/>
      <c r="D30" s="28"/>
      <c r="E30" s="54"/>
      <c r="F30" s="28"/>
      <c r="G30" s="55"/>
      <c r="H30" s="29">
        <f t="shared" ref="H30:H39" si="2">SUM(C30:G30)</f>
        <v>0</v>
      </c>
      <c r="I30" s="11"/>
      <c r="J30" s="11"/>
      <c r="K30" s="11"/>
      <c r="L30" s="11"/>
      <c r="M30" s="11"/>
      <c r="O30" s="11"/>
    </row>
    <row r="31" spans="1:21" ht="24" customHeight="1">
      <c r="A31" s="21"/>
      <c r="B31" s="61" t="s">
        <v>23</v>
      </c>
      <c r="C31" s="22" t="s">
        <v>70</v>
      </c>
      <c r="D31" s="22">
        <f>35733.59+319</f>
        <v>36052.589999999997</v>
      </c>
      <c r="E31" s="63">
        <v>11798</v>
      </c>
      <c r="F31" s="22"/>
      <c r="G31" s="64">
        <v>17505</v>
      </c>
      <c r="H31" s="29">
        <f t="shared" si="2"/>
        <v>65355.59</v>
      </c>
      <c r="O31" s="11"/>
    </row>
    <row r="32" spans="1:21" ht="27" customHeight="1">
      <c r="A32" s="21"/>
      <c r="B32" s="61" t="s">
        <v>24</v>
      </c>
      <c r="C32" s="22">
        <f>325140+616</f>
        <v>325756</v>
      </c>
      <c r="D32" s="22">
        <v>303159</v>
      </c>
      <c r="E32" s="63">
        <v>7636</v>
      </c>
      <c r="F32" s="22">
        <v>2893</v>
      </c>
      <c r="G32" s="64">
        <v>17758</v>
      </c>
      <c r="H32" s="29">
        <f t="shared" si="2"/>
        <v>657202</v>
      </c>
      <c r="I32" s="11"/>
      <c r="J32" s="11"/>
      <c r="K32" s="11"/>
      <c r="L32" s="11"/>
      <c r="M32" s="11"/>
      <c r="O32" s="11"/>
    </row>
    <row r="33" spans="1:15" ht="14.25" customHeight="1">
      <c r="A33" s="21"/>
      <c r="B33" s="61" t="s">
        <v>25</v>
      </c>
      <c r="C33" s="22"/>
      <c r="D33" s="22"/>
      <c r="E33" s="63"/>
      <c r="F33" s="22"/>
      <c r="G33" s="22"/>
      <c r="H33" s="29">
        <f t="shared" si="2"/>
        <v>0</v>
      </c>
      <c r="I33" s="11"/>
    </row>
    <row r="34" spans="1:15" ht="35.25" hidden="1" customHeight="1">
      <c r="A34" s="21"/>
      <c r="B34" s="65" t="s">
        <v>26</v>
      </c>
      <c r="C34" s="22"/>
      <c r="D34" s="22"/>
      <c r="E34" s="63"/>
      <c r="F34" s="22"/>
      <c r="G34" s="22"/>
      <c r="H34" s="29">
        <f t="shared" si="2"/>
        <v>0</v>
      </c>
      <c r="I34" s="11"/>
    </row>
    <row r="35" spans="1:15" ht="24.75" customHeight="1">
      <c r="A35" s="192" t="s">
        <v>52</v>
      </c>
      <c r="B35" s="192"/>
      <c r="C35" s="28"/>
      <c r="D35" s="28"/>
      <c r="E35" s="54"/>
      <c r="F35" s="28"/>
      <c r="G35" s="28"/>
      <c r="H35" s="29">
        <f t="shared" si="2"/>
        <v>0</v>
      </c>
    </row>
    <row r="36" spans="1:15" ht="13.5" customHeight="1">
      <c r="A36" s="192" t="s">
        <v>28</v>
      </c>
      <c r="B36" s="192"/>
      <c r="C36" s="28"/>
      <c r="D36" s="28"/>
      <c r="E36" s="54"/>
      <c r="F36" s="28"/>
      <c r="G36" s="28"/>
      <c r="H36" s="29">
        <f t="shared" si="2"/>
        <v>0</v>
      </c>
    </row>
    <row r="37" spans="1:15" ht="11.25" customHeight="1">
      <c r="A37" s="192" t="s">
        <v>29</v>
      </c>
      <c r="B37" s="192"/>
      <c r="C37" s="28"/>
      <c r="D37" s="28"/>
      <c r="E37" s="54"/>
      <c r="F37" s="28"/>
      <c r="G37" s="28"/>
      <c r="H37" s="29">
        <f t="shared" si="2"/>
        <v>0</v>
      </c>
    </row>
    <row r="38" spans="1:15" ht="12.75" customHeight="1">
      <c r="A38" s="192" t="s">
        <v>30</v>
      </c>
      <c r="B38" s="192"/>
      <c r="C38" s="28">
        <f>254828+43264-38184</f>
        <v>259908</v>
      </c>
      <c r="D38" s="28">
        <v>15118</v>
      </c>
      <c r="E38" s="54">
        <v>3540</v>
      </c>
      <c r="F38" s="28">
        <v>1958</v>
      </c>
      <c r="G38" s="66">
        <v>5893</v>
      </c>
      <c r="H38" s="29">
        <f t="shared" si="2"/>
        <v>286417</v>
      </c>
      <c r="I38" s="11"/>
      <c r="O38" s="11"/>
    </row>
    <row r="39" spans="1:15" ht="15" customHeight="1">
      <c r="A39" s="193" t="s">
        <v>31</v>
      </c>
      <c r="B39" s="193"/>
      <c r="C39" s="3">
        <f>SUM(C12:C38)</f>
        <v>12794415</v>
      </c>
      <c r="D39" s="3">
        <f>SUM(D12:D38)</f>
        <v>3235474.59</v>
      </c>
      <c r="E39" s="3">
        <f t="shared" ref="E39:G39" si="3">SUM(E12:E38)</f>
        <v>821169</v>
      </c>
      <c r="F39" s="3">
        <f t="shared" si="3"/>
        <v>267094</v>
      </c>
      <c r="G39" s="3">
        <f t="shared" si="3"/>
        <v>1034293</v>
      </c>
      <c r="H39" s="8">
        <f t="shared" si="2"/>
        <v>18152445.59</v>
      </c>
      <c r="O39" s="11"/>
    </row>
    <row r="40" spans="1:15" ht="27" customHeight="1">
      <c r="A40" s="193" t="s">
        <v>32</v>
      </c>
      <c r="B40" s="193"/>
      <c r="C40" s="42">
        <f t="shared" ref="C40:G40" si="4">C10-C39</f>
        <v>1799923.2199999988</v>
      </c>
      <c r="D40" s="42">
        <f t="shared" si="4"/>
        <v>-821591.08000000007</v>
      </c>
      <c r="E40" s="68">
        <f t="shared" si="4"/>
        <v>-279915.20999999996</v>
      </c>
      <c r="F40" s="42">
        <f t="shared" si="4"/>
        <v>15530.960000000021</v>
      </c>
      <c r="G40" s="3">
        <f t="shared" si="4"/>
        <v>-179965.95999999996</v>
      </c>
      <c r="H40" s="8">
        <f>H10-H39</f>
        <v>533981.9299999997</v>
      </c>
    </row>
    <row r="41" spans="1:15" ht="12.75" customHeight="1">
      <c r="A41" s="193" t="s">
        <v>33</v>
      </c>
      <c r="B41" s="193"/>
      <c r="C41" s="3"/>
      <c r="D41" s="3"/>
      <c r="E41" s="1"/>
      <c r="F41" s="3"/>
      <c r="G41" s="68"/>
      <c r="H41" s="53">
        <f>SUM(C41:G41)</f>
        <v>0</v>
      </c>
      <c r="I41" s="11"/>
    </row>
    <row r="42" spans="1:15" ht="13.5" customHeight="1">
      <c r="A42" s="192" t="s">
        <v>34</v>
      </c>
      <c r="B42" s="192"/>
      <c r="C42" s="33"/>
      <c r="D42" s="33"/>
      <c r="E42" s="69"/>
      <c r="F42" s="33"/>
      <c r="G42" s="110"/>
      <c r="H42" s="114">
        <v>0</v>
      </c>
      <c r="I42" s="19"/>
    </row>
    <row r="43" spans="1:15" ht="12.75" customHeight="1">
      <c r="A43" s="192" t="s">
        <v>36</v>
      </c>
      <c r="B43" s="192"/>
      <c r="C43" s="28"/>
      <c r="D43" s="28"/>
      <c r="E43" s="69"/>
      <c r="F43" s="28"/>
      <c r="G43" s="54"/>
      <c r="H43" s="46">
        <f>SUM(C43:G43)</f>
        <v>0</v>
      </c>
    </row>
    <row r="44" spans="1:15" ht="12.75" customHeight="1">
      <c r="A44" s="192" t="s">
        <v>37</v>
      </c>
      <c r="B44" s="192"/>
      <c r="C44" s="28"/>
      <c r="D44" s="28"/>
      <c r="E44" s="69"/>
      <c r="F44" s="28"/>
      <c r="G44" s="54"/>
      <c r="H44" s="46">
        <f>SUM(C44:G44)</f>
        <v>0</v>
      </c>
      <c r="I44" s="20"/>
    </row>
    <row r="45" spans="1:15" ht="13.5" customHeight="1">
      <c r="A45" s="15"/>
      <c r="B45" s="23" t="s">
        <v>38</v>
      </c>
      <c r="C45" s="46">
        <f>17356+306</f>
        <v>17662</v>
      </c>
      <c r="D45" s="46">
        <f>41533-D46</f>
        <v>2648</v>
      </c>
      <c r="E45" s="71">
        <v>692</v>
      </c>
      <c r="F45" s="46">
        <v>383</v>
      </c>
      <c r="G45" s="111">
        <v>1151</v>
      </c>
      <c r="H45" s="46">
        <f>SUM(C45:G45)</f>
        <v>22536</v>
      </c>
    </row>
    <row r="46" spans="1:15" ht="12.75" customHeight="1">
      <c r="A46" s="15"/>
      <c r="B46" s="23" t="s">
        <v>39</v>
      </c>
      <c r="C46" s="46"/>
      <c r="D46" s="46">
        <f>36764+2121</f>
        <v>38885</v>
      </c>
      <c r="E46" s="93"/>
      <c r="F46" s="46"/>
      <c r="G46" s="111"/>
      <c r="H46" s="46">
        <f>SUM(C46:G46)</f>
        <v>38885</v>
      </c>
    </row>
    <row r="47" spans="1:15" ht="12.75" customHeight="1">
      <c r="A47" s="15"/>
      <c r="B47" s="24" t="s">
        <v>35</v>
      </c>
      <c r="C47" s="28">
        <v>15557</v>
      </c>
      <c r="D47" s="28">
        <v>2648</v>
      </c>
      <c r="E47" s="69">
        <v>620</v>
      </c>
      <c r="F47" s="28">
        <v>343</v>
      </c>
      <c r="G47" s="54">
        <v>1032</v>
      </c>
      <c r="H47" s="115">
        <f>SUM(C47:G47)</f>
        <v>20200</v>
      </c>
    </row>
    <row r="48" spans="1:15">
      <c r="A48" s="192" t="s">
        <v>40</v>
      </c>
      <c r="B48" s="192"/>
      <c r="C48" s="28"/>
      <c r="D48" s="28"/>
      <c r="E48" s="69"/>
      <c r="F48" s="28"/>
      <c r="G48" s="112"/>
      <c r="H48" s="43">
        <v>0</v>
      </c>
    </row>
    <row r="49" spans="1:15">
      <c r="A49" s="193" t="s">
        <v>41</v>
      </c>
      <c r="B49" s="193"/>
      <c r="C49" s="7">
        <f>SUM(C42:C48)</f>
        <v>33219</v>
      </c>
      <c r="D49" s="7">
        <f>SUM(D42:D48)</f>
        <v>44181</v>
      </c>
      <c r="E49" s="6">
        <f>SUM(E42:E48)</f>
        <v>1312</v>
      </c>
      <c r="F49" s="6">
        <f t="shared" ref="F49:G49" si="5">SUM(F42:F48)</f>
        <v>726</v>
      </c>
      <c r="G49" s="6">
        <f t="shared" si="5"/>
        <v>2183</v>
      </c>
      <c r="H49" s="113">
        <f>SUM(C49:G49)</f>
        <v>81621</v>
      </c>
    </row>
    <row r="50" spans="1:15" ht="22.5" customHeight="1">
      <c r="A50" s="193" t="s">
        <v>42</v>
      </c>
      <c r="B50" s="193"/>
      <c r="C50" s="3"/>
      <c r="D50" s="3"/>
      <c r="E50" s="1"/>
      <c r="F50" s="3"/>
      <c r="G50" s="68"/>
      <c r="H50" s="3"/>
    </row>
    <row r="51" spans="1:15" ht="12" hidden="1" customHeight="1">
      <c r="A51" s="192" t="s">
        <v>43</v>
      </c>
      <c r="B51" s="192"/>
      <c r="C51" s="33"/>
      <c r="D51" s="69"/>
      <c r="E51" s="33"/>
      <c r="F51" s="69"/>
      <c r="G51" s="33"/>
      <c r="H51" s="29">
        <v>0</v>
      </c>
    </row>
    <row r="52" spans="1:15" ht="11.25" hidden="1" customHeight="1">
      <c r="A52" s="192" t="s">
        <v>44</v>
      </c>
      <c r="B52" s="192"/>
      <c r="C52" s="28"/>
      <c r="D52" s="69"/>
      <c r="E52" s="28"/>
      <c r="F52" s="69"/>
      <c r="G52" s="28"/>
      <c r="H52" s="29">
        <v>0</v>
      </c>
    </row>
    <row r="53" spans="1:15" ht="22.5" customHeight="1">
      <c r="A53" s="193" t="s">
        <v>45</v>
      </c>
      <c r="B53" s="193"/>
      <c r="C53" s="3"/>
      <c r="D53" s="1"/>
      <c r="E53" s="3"/>
      <c r="F53" s="1"/>
      <c r="G53" s="3"/>
      <c r="H53" s="2">
        <v>0</v>
      </c>
    </row>
    <row r="54" spans="1:15">
      <c r="A54" s="193" t="s">
        <v>46</v>
      </c>
      <c r="B54" s="193"/>
      <c r="C54" s="94">
        <f t="shared" ref="C54:H54" si="6">C40-C49</f>
        <v>1766704.2199999988</v>
      </c>
      <c r="D54" s="95">
        <f t="shared" si="6"/>
        <v>-865772.08000000007</v>
      </c>
      <c r="E54" s="95">
        <f t="shared" si="6"/>
        <v>-281227.20999999996</v>
      </c>
      <c r="F54" s="95">
        <f t="shared" si="6"/>
        <v>14804.960000000021</v>
      </c>
      <c r="G54" s="3">
        <f t="shared" si="6"/>
        <v>-182148.95999999996</v>
      </c>
      <c r="H54" s="3">
        <f t="shared" si="6"/>
        <v>452360.9299999997</v>
      </c>
    </row>
    <row r="55" spans="1:15" ht="15" customHeight="1">
      <c r="A55" s="190" t="s">
        <v>47</v>
      </c>
      <c r="B55" s="191"/>
      <c r="C55" s="33"/>
      <c r="D55" s="74"/>
      <c r="E55" s="33"/>
      <c r="F55" s="74"/>
      <c r="G55" s="33"/>
      <c r="H55" s="53"/>
    </row>
    <row r="56" spans="1:15" ht="12" customHeight="1">
      <c r="A56" s="15"/>
      <c r="B56" s="25" t="s">
        <v>48</v>
      </c>
      <c r="C56" s="28"/>
      <c r="D56" s="69"/>
      <c r="E56" s="28"/>
      <c r="F56" s="69"/>
      <c r="G56" s="28"/>
      <c r="H56" s="29">
        <f>SUM(C56:G56)</f>
        <v>0</v>
      </c>
    </row>
    <row r="57" spans="1:15">
      <c r="A57" s="193" t="s">
        <v>49</v>
      </c>
      <c r="B57" s="193"/>
      <c r="C57" s="3">
        <f t="shared" ref="C57:G57" si="7">C54-C56</f>
        <v>1766704.2199999988</v>
      </c>
      <c r="D57" s="3">
        <f t="shared" si="7"/>
        <v>-865772.08000000007</v>
      </c>
      <c r="E57" s="3">
        <f t="shared" si="7"/>
        <v>-281227.20999999996</v>
      </c>
      <c r="F57" s="3">
        <f t="shared" si="7"/>
        <v>14804.960000000021</v>
      </c>
      <c r="G57" s="3">
        <f t="shared" si="7"/>
        <v>-182148.95999999996</v>
      </c>
      <c r="H57" s="3">
        <f>H54-H56</f>
        <v>452360.9299999997</v>
      </c>
      <c r="I57" s="11" t="s">
        <v>70</v>
      </c>
      <c r="O57" s="11" t="s">
        <v>70</v>
      </c>
    </row>
    <row r="58" spans="1:15">
      <c r="A58" s="75"/>
      <c r="B58" s="75"/>
      <c r="H58" s="11"/>
      <c r="I58" s="10" t="s">
        <v>70</v>
      </c>
    </row>
    <row r="59" spans="1:15">
      <c r="A59" s="75"/>
      <c r="B59" s="75"/>
      <c r="D59" s="19"/>
    </row>
    <row r="60" spans="1:15">
      <c r="E60" s="11"/>
      <c r="H60" s="11"/>
    </row>
    <row r="61" spans="1:15">
      <c r="D61" s="11"/>
      <c r="E61" s="19"/>
      <c r="F61" s="19"/>
    </row>
    <row r="62" spans="1:15">
      <c r="D62" s="11"/>
      <c r="E62" s="19"/>
      <c r="F62" s="19"/>
    </row>
    <row r="63" spans="1:15">
      <c r="D63" s="11"/>
      <c r="E63" s="19"/>
      <c r="F63" s="19"/>
    </row>
    <row r="64" spans="1:15">
      <c r="D64" s="11"/>
      <c r="E64" s="19"/>
      <c r="F64" s="19"/>
    </row>
    <row r="65" spans="4:6">
      <c r="D65" s="11"/>
      <c r="E65" s="19"/>
      <c r="F65" s="19"/>
    </row>
  </sheetData>
  <mergeCells count="39">
    <mergeCell ref="A8:B8"/>
    <mergeCell ref="A23:B23"/>
    <mergeCell ref="A30:B30"/>
    <mergeCell ref="A35:B35"/>
    <mergeCell ref="A36:B36"/>
    <mergeCell ref="A10:B10"/>
    <mergeCell ref="A11:B11"/>
    <mergeCell ref="A12:B12"/>
    <mergeCell ref="A13:B13"/>
    <mergeCell ref="A22:B22"/>
    <mergeCell ref="A55:B55"/>
    <mergeCell ref="A57:B57"/>
    <mergeCell ref="A52:B52"/>
    <mergeCell ref="A53:B53"/>
    <mergeCell ref="A54:B54"/>
    <mergeCell ref="A37:B37"/>
    <mergeCell ref="A38:B38"/>
    <mergeCell ref="A49:B49"/>
    <mergeCell ref="A50:B50"/>
    <mergeCell ref="A51:B51"/>
    <mergeCell ref="A40:B40"/>
    <mergeCell ref="A41:B41"/>
    <mergeCell ref="A42:B42"/>
    <mergeCell ref="A43:B43"/>
    <mergeCell ref="A44:B44"/>
    <mergeCell ref="A48:B48"/>
    <mergeCell ref="A39:B39"/>
    <mergeCell ref="C1:H1"/>
    <mergeCell ref="C3:H3"/>
    <mergeCell ref="A4:B5"/>
    <mergeCell ref="A6:B6"/>
    <mergeCell ref="A7:B7"/>
    <mergeCell ref="C2:H2"/>
    <mergeCell ref="C4:C6"/>
    <mergeCell ref="D4:D6"/>
    <mergeCell ref="E4:E6"/>
    <mergeCell ref="F4:F6"/>
    <mergeCell ref="G4:G6"/>
    <mergeCell ref="H4:H6"/>
  </mergeCells>
  <pageMargins left="0.15748031496062992" right="0.15748031496062992" top="0.15748031496062992" bottom="0.15748031496062992" header="0.55118110236220474" footer="0.19685039370078741"/>
  <pageSetup paperSize="9" scale="75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182880</xdr:colOff>
                <xdr:row>0</xdr:row>
                <xdr:rowOff>60960</xdr:rowOff>
              </from>
              <to>
                <xdr:col>1</xdr:col>
                <xdr:colOff>883920</xdr:colOff>
                <xdr:row>2</xdr:row>
                <xdr:rowOff>137160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9"/>
  <sheetViews>
    <sheetView workbookViewId="0">
      <selection activeCell="C2" sqref="C2:I2"/>
    </sheetView>
  </sheetViews>
  <sheetFormatPr defaultColWidth="9.109375" defaultRowHeight="14.4"/>
  <cols>
    <col min="1" max="1" width="3.44140625" style="10" customWidth="1"/>
    <col min="2" max="2" width="67.33203125" style="10" customWidth="1"/>
    <col min="3" max="9" width="16.77734375" style="10" customWidth="1"/>
    <col min="10" max="10" width="1.109375" style="19" hidden="1" customWidth="1"/>
    <col min="11" max="11" width="12.6640625" style="10" customWidth="1"/>
    <col min="12" max="12" width="9.6640625" style="10" customWidth="1"/>
    <col min="13" max="13" width="9.44140625" style="10" customWidth="1"/>
    <col min="14" max="14" width="8.109375" style="10" customWidth="1"/>
    <col min="15" max="15" width="9" style="10" customWidth="1"/>
    <col min="16" max="16" width="17.88671875" style="10" customWidth="1"/>
    <col min="17" max="17" width="28.6640625" style="10" customWidth="1"/>
    <col min="18" max="16384" width="9.109375" style="10"/>
  </cols>
  <sheetData>
    <row r="1" spans="1:12" ht="19.95" customHeight="1">
      <c r="A1" s="100"/>
      <c r="B1" s="103"/>
      <c r="C1" s="187" t="s">
        <v>73</v>
      </c>
      <c r="D1" s="197"/>
      <c r="E1" s="197"/>
      <c r="F1" s="197"/>
      <c r="G1" s="197"/>
      <c r="H1" s="197"/>
      <c r="I1" s="198"/>
    </row>
    <row r="2" spans="1:12" ht="18" customHeight="1">
      <c r="A2" s="100"/>
      <c r="B2" s="134"/>
      <c r="C2" s="199" t="s">
        <v>50</v>
      </c>
      <c r="D2" s="200"/>
      <c r="E2" s="200"/>
      <c r="F2" s="200"/>
      <c r="G2" s="200"/>
      <c r="H2" s="200"/>
      <c r="I2" s="201"/>
    </row>
    <row r="3" spans="1:12" ht="18" customHeight="1">
      <c r="A3" s="100"/>
      <c r="B3" s="101"/>
      <c r="C3" s="199" t="s">
        <v>72</v>
      </c>
      <c r="D3" s="200"/>
      <c r="E3" s="200"/>
      <c r="F3" s="200"/>
      <c r="G3" s="200"/>
      <c r="H3" s="200"/>
      <c r="I3" s="201"/>
    </row>
    <row r="4" spans="1:12" ht="19.95" customHeight="1">
      <c r="A4" s="202"/>
      <c r="B4" s="203"/>
      <c r="C4" s="206" t="s">
        <v>61</v>
      </c>
      <c r="D4" s="206" t="s">
        <v>62</v>
      </c>
      <c r="E4" s="206" t="s">
        <v>63</v>
      </c>
      <c r="F4" s="206" t="s">
        <v>64</v>
      </c>
      <c r="G4" s="206" t="s">
        <v>65</v>
      </c>
      <c r="H4" s="206" t="s">
        <v>66</v>
      </c>
      <c r="I4" s="206" t="s">
        <v>0</v>
      </c>
      <c r="J4" s="211" t="s">
        <v>53</v>
      </c>
    </row>
    <row r="5" spans="1:12" ht="19.95" customHeight="1">
      <c r="A5" s="204"/>
      <c r="B5" s="205"/>
      <c r="C5" s="209"/>
      <c r="D5" s="209"/>
      <c r="E5" s="213"/>
      <c r="F5" s="209"/>
      <c r="G5" s="209"/>
      <c r="H5" s="213"/>
      <c r="I5" s="207"/>
      <c r="J5" s="212"/>
    </row>
    <row r="6" spans="1:12" ht="19.95" customHeight="1">
      <c r="A6" s="195" t="s">
        <v>1</v>
      </c>
      <c r="B6" s="196"/>
      <c r="C6" s="208"/>
      <c r="D6" s="208"/>
      <c r="E6" s="208"/>
      <c r="F6" s="208"/>
      <c r="G6" s="208"/>
      <c r="H6" s="208"/>
      <c r="I6" s="208"/>
    </row>
    <row r="7" spans="1:12" ht="18" customHeight="1">
      <c r="A7" s="190" t="s">
        <v>2</v>
      </c>
      <c r="B7" s="191"/>
      <c r="C7" s="28">
        <v>1233477.31</v>
      </c>
      <c r="D7" s="69">
        <v>479152.5</v>
      </c>
      <c r="E7" s="28">
        <v>229427.14</v>
      </c>
      <c r="F7" s="69">
        <v>67335.23</v>
      </c>
      <c r="G7" s="106">
        <v>279408.5</v>
      </c>
      <c r="H7" s="28">
        <v>121988.58</v>
      </c>
      <c r="I7" s="29">
        <f>SUM(C7:H7)</f>
        <v>2410789.2600000002</v>
      </c>
      <c r="J7" s="47">
        <v>1745492.41</v>
      </c>
    </row>
    <row r="8" spans="1:12" ht="14.25" customHeight="1">
      <c r="A8" s="194" t="s">
        <v>3</v>
      </c>
      <c r="B8" s="194"/>
      <c r="C8" s="28"/>
      <c r="D8" s="69"/>
      <c r="E8" s="28"/>
      <c r="F8" s="69"/>
      <c r="G8" s="28"/>
      <c r="H8" s="28"/>
      <c r="I8" s="29">
        <v>0</v>
      </c>
      <c r="J8" s="47"/>
    </row>
    <row r="9" spans="1:12" ht="12" customHeight="1">
      <c r="A9" s="15"/>
      <c r="B9" s="25" t="s">
        <v>4</v>
      </c>
      <c r="C9" s="28">
        <f>2343+185</f>
        <v>2528</v>
      </c>
      <c r="D9" s="69"/>
      <c r="E9" s="28"/>
      <c r="F9" s="69"/>
      <c r="G9" s="28"/>
      <c r="H9" s="28"/>
      <c r="I9" s="29">
        <f>SUM(C9:H9)</f>
        <v>2528</v>
      </c>
      <c r="J9" s="49"/>
    </row>
    <row r="10" spans="1:12" ht="15.75" customHeight="1">
      <c r="A10" s="193" t="s">
        <v>5</v>
      </c>
      <c r="B10" s="193"/>
      <c r="C10" s="3">
        <f t="shared" ref="C10:H10" si="0">SUM(C7:C9)</f>
        <v>1236005.31</v>
      </c>
      <c r="D10" s="1">
        <f t="shared" si="0"/>
        <v>479152.5</v>
      </c>
      <c r="E10" s="3">
        <f t="shared" si="0"/>
        <v>229427.14</v>
      </c>
      <c r="F10" s="1">
        <f t="shared" si="0"/>
        <v>67335.23</v>
      </c>
      <c r="G10" s="109">
        <f t="shared" si="0"/>
        <v>279408.5</v>
      </c>
      <c r="H10" s="3">
        <f t="shared" si="0"/>
        <v>121988.58</v>
      </c>
      <c r="I10" s="2">
        <f>SUM(I7:I9)</f>
        <v>2413317.2600000002</v>
      </c>
      <c r="J10" s="49">
        <f>J9+J7</f>
        <v>1745492.41</v>
      </c>
    </row>
    <row r="11" spans="1:12" ht="13.5" customHeight="1">
      <c r="A11" s="193" t="s">
        <v>6</v>
      </c>
      <c r="B11" s="193"/>
      <c r="C11" s="13"/>
      <c r="D11" s="14"/>
      <c r="E11" s="13"/>
      <c r="F11" s="14"/>
      <c r="G11" s="14"/>
      <c r="H11" s="13"/>
      <c r="I11" s="27"/>
    </row>
    <row r="12" spans="1:12" ht="17.25" customHeight="1">
      <c r="A12" s="194" t="s">
        <v>7</v>
      </c>
      <c r="B12" s="194"/>
      <c r="C12" s="28">
        <f>47094</f>
        <v>47094</v>
      </c>
      <c r="D12" s="33">
        <f>15662</f>
        <v>15662</v>
      </c>
      <c r="E12" s="76">
        <v>976</v>
      </c>
      <c r="F12" s="69">
        <v>351</v>
      </c>
      <c r="G12" s="106">
        <v>1242</v>
      </c>
      <c r="H12" s="106">
        <v>589</v>
      </c>
      <c r="I12" s="29">
        <f t="shared" ref="I12:I38" si="1">SUM(C12:H12)</f>
        <v>65914</v>
      </c>
      <c r="J12" s="47">
        <v>51468.75</v>
      </c>
      <c r="L12" s="19"/>
    </row>
    <row r="13" spans="1:12" ht="15" customHeight="1">
      <c r="A13" s="194" t="s">
        <v>8</v>
      </c>
      <c r="B13" s="194"/>
      <c r="C13" s="28"/>
      <c r="D13" s="28"/>
      <c r="E13" s="76"/>
      <c r="F13" s="69"/>
      <c r="G13" s="28"/>
      <c r="H13" s="28"/>
      <c r="I13" s="29">
        <f t="shared" si="1"/>
        <v>0</v>
      </c>
      <c r="J13" s="56"/>
      <c r="L13" s="19"/>
    </row>
    <row r="14" spans="1:12" ht="12.75" customHeight="1">
      <c r="A14" s="16"/>
      <c r="B14" s="57" t="s">
        <v>9</v>
      </c>
      <c r="C14" s="18"/>
      <c r="D14" s="18"/>
      <c r="E14" s="77"/>
      <c r="F14" s="78"/>
      <c r="G14" s="18"/>
      <c r="H14" s="18"/>
      <c r="I14" s="29">
        <f t="shared" si="1"/>
        <v>0</v>
      </c>
      <c r="J14" s="59"/>
      <c r="L14" s="37"/>
    </row>
    <row r="15" spans="1:12" ht="13.5" customHeight="1">
      <c r="A15" s="16"/>
      <c r="B15" s="57" t="s">
        <v>51</v>
      </c>
      <c r="C15" s="18">
        <v>109</v>
      </c>
      <c r="D15" s="18">
        <v>20179</v>
      </c>
      <c r="E15" s="78">
        <v>1020</v>
      </c>
      <c r="F15" s="78"/>
      <c r="G15" s="18"/>
      <c r="H15" s="18"/>
      <c r="I15" s="29">
        <f>SUM(C15:H15)</f>
        <v>21308</v>
      </c>
      <c r="J15" s="59">
        <v>2036.67</v>
      </c>
      <c r="L15" s="37"/>
    </row>
    <row r="16" spans="1:12" ht="12" customHeight="1">
      <c r="A16" s="16"/>
      <c r="B16" s="57" t="s">
        <v>10</v>
      </c>
      <c r="C16" s="18">
        <v>12409</v>
      </c>
      <c r="D16" s="18">
        <v>4986</v>
      </c>
      <c r="E16" s="78">
        <v>2380</v>
      </c>
      <c r="F16" s="78">
        <v>708</v>
      </c>
      <c r="G16" s="18">
        <v>2861</v>
      </c>
      <c r="H16" s="18">
        <v>1247</v>
      </c>
      <c r="I16" s="29">
        <f>SUM(C16:H16)</f>
        <v>24591</v>
      </c>
      <c r="J16" s="59">
        <v>16752.5</v>
      </c>
      <c r="L16" s="37"/>
    </row>
    <row r="17" spans="1:17" ht="15" customHeight="1">
      <c r="A17" s="16"/>
      <c r="B17" s="57" t="s">
        <v>11</v>
      </c>
      <c r="C17" s="18"/>
      <c r="D17" s="18"/>
      <c r="E17" s="78"/>
      <c r="F17" s="78"/>
      <c r="G17" s="18"/>
      <c r="H17" s="18"/>
      <c r="I17" s="29">
        <f t="shared" si="1"/>
        <v>0</v>
      </c>
      <c r="J17" s="59"/>
      <c r="L17" s="37"/>
    </row>
    <row r="18" spans="1:17" ht="9.75" customHeight="1">
      <c r="A18" s="16"/>
      <c r="B18" s="57" t="s">
        <v>12</v>
      </c>
      <c r="C18" s="18"/>
      <c r="D18" s="18"/>
      <c r="E18" s="78"/>
      <c r="F18" s="78"/>
      <c r="G18" s="18"/>
      <c r="H18" s="18"/>
      <c r="I18" s="29">
        <f t="shared" si="1"/>
        <v>0</v>
      </c>
      <c r="J18" s="59"/>
      <c r="L18" s="37"/>
    </row>
    <row r="19" spans="1:17" ht="14.25" customHeight="1">
      <c r="A19" s="16"/>
      <c r="B19" s="57" t="s">
        <v>13</v>
      </c>
      <c r="C19" s="18"/>
      <c r="D19" s="18"/>
      <c r="E19" s="78"/>
      <c r="F19" s="78"/>
      <c r="G19" s="18"/>
      <c r="H19" s="18"/>
      <c r="I19" s="29">
        <f t="shared" si="1"/>
        <v>0</v>
      </c>
      <c r="J19" s="59"/>
      <c r="L19" s="20"/>
    </row>
    <row r="20" spans="1:17" ht="14.25" customHeight="1">
      <c r="A20" s="16"/>
      <c r="B20" s="57" t="s">
        <v>68</v>
      </c>
      <c r="C20" s="18">
        <v>1300</v>
      </c>
      <c r="D20" s="18">
        <v>2800</v>
      </c>
      <c r="E20" s="78">
        <v>1500</v>
      </c>
      <c r="F20" s="78"/>
      <c r="G20" s="18"/>
      <c r="H20" s="18"/>
      <c r="I20" s="29">
        <f t="shared" si="1"/>
        <v>5600</v>
      </c>
      <c r="J20" s="59">
        <v>1666</v>
      </c>
    </row>
    <row r="21" spans="1:17" ht="12" customHeight="1">
      <c r="A21" s="16"/>
      <c r="B21" s="57" t="s">
        <v>14</v>
      </c>
      <c r="C21" s="18">
        <v>23820</v>
      </c>
      <c r="D21" s="18">
        <v>9571</v>
      </c>
      <c r="E21" s="77">
        <v>4568</v>
      </c>
      <c r="F21" s="78">
        <v>1360</v>
      </c>
      <c r="G21" s="18">
        <v>5493</v>
      </c>
      <c r="H21" s="18">
        <v>2393</v>
      </c>
      <c r="I21" s="29">
        <f t="shared" si="1"/>
        <v>47205</v>
      </c>
      <c r="J21" s="59">
        <v>13510</v>
      </c>
      <c r="K21" s="37"/>
      <c r="L21" s="37"/>
      <c r="M21" s="20"/>
    </row>
    <row r="22" spans="1:17" ht="15.75" customHeight="1">
      <c r="A22" s="192" t="s">
        <v>15</v>
      </c>
      <c r="B22" s="192"/>
      <c r="C22" s="28">
        <v>32125</v>
      </c>
      <c r="D22" s="28"/>
      <c r="E22" s="76"/>
      <c r="F22" s="69"/>
      <c r="G22" s="28"/>
      <c r="H22" s="28"/>
      <c r="I22" s="29">
        <f t="shared" si="1"/>
        <v>32125</v>
      </c>
      <c r="J22" s="59">
        <v>3402.92</v>
      </c>
      <c r="K22" s="19"/>
      <c r="L22" s="19"/>
      <c r="M22" s="20"/>
    </row>
    <row r="23" spans="1:17" ht="12" customHeight="1">
      <c r="A23" s="192" t="s">
        <v>16</v>
      </c>
      <c r="B23" s="192"/>
      <c r="C23" s="28"/>
      <c r="D23" s="28"/>
      <c r="E23" s="76"/>
      <c r="F23" s="69"/>
      <c r="G23" s="28"/>
      <c r="H23" s="28"/>
      <c r="I23" s="29">
        <f t="shared" si="1"/>
        <v>0</v>
      </c>
      <c r="J23" s="59"/>
      <c r="K23" s="19"/>
      <c r="L23" s="19"/>
      <c r="M23" s="20"/>
    </row>
    <row r="24" spans="1:17" ht="15" customHeight="1">
      <c r="A24" s="15"/>
      <c r="B24" s="61" t="s">
        <v>17</v>
      </c>
      <c r="C24" s="28">
        <v>719963</v>
      </c>
      <c r="D24" s="28">
        <v>202882</v>
      </c>
      <c r="E24" s="76">
        <v>97578</v>
      </c>
      <c r="F24" s="28">
        <v>77536</v>
      </c>
      <c r="G24" s="28">
        <v>88339</v>
      </c>
      <c r="H24" s="28">
        <v>110424</v>
      </c>
      <c r="I24" s="29">
        <f t="shared" si="1"/>
        <v>1296722</v>
      </c>
      <c r="J24" s="59">
        <v>1195450.24</v>
      </c>
      <c r="K24" s="19"/>
      <c r="L24" s="19"/>
      <c r="M24" s="20"/>
    </row>
    <row r="25" spans="1:17" ht="15" customHeight="1">
      <c r="A25" s="15"/>
      <c r="B25" s="61" t="s">
        <v>18</v>
      </c>
      <c r="C25" s="28">
        <v>176386</v>
      </c>
      <c r="D25" s="28">
        <v>41611</v>
      </c>
      <c r="E25" s="76">
        <v>25264</v>
      </c>
      <c r="F25" s="28">
        <v>19039</v>
      </c>
      <c r="G25" s="28">
        <v>22064</v>
      </c>
      <c r="H25" s="28">
        <v>29536</v>
      </c>
      <c r="I25" s="29">
        <f t="shared" si="1"/>
        <v>313900</v>
      </c>
      <c r="J25" s="59">
        <v>390613.19</v>
      </c>
      <c r="K25" s="19"/>
      <c r="L25" s="19"/>
      <c r="M25" s="20"/>
    </row>
    <row r="26" spans="1:17" ht="15" customHeight="1">
      <c r="A26" s="15"/>
      <c r="B26" s="61" t="s">
        <v>19</v>
      </c>
      <c r="C26" s="28">
        <v>58232</v>
      </c>
      <c r="D26" s="28">
        <v>18225</v>
      </c>
      <c r="E26" s="76">
        <v>8484</v>
      </c>
      <c r="F26" s="28">
        <v>6798</v>
      </c>
      <c r="G26" s="28">
        <v>8903</v>
      </c>
      <c r="H26" s="28">
        <v>10181</v>
      </c>
      <c r="I26" s="29">
        <f t="shared" si="1"/>
        <v>110823</v>
      </c>
      <c r="J26" s="59">
        <v>78667.41</v>
      </c>
      <c r="K26" s="19"/>
      <c r="L26" s="19"/>
      <c r="M26" s="20"/>
    </row>
    <row r="27" spans="1:17" ht="15" customHeight="1">
      <c r="A27" s="15"/>
      <c r="B27" s="61" t="s">
        <v>20</v>
      </c>
      <c r="C27" s="28"/>
      <c r="D27" s="28"/>
      <c r="E27" s="76"/>
      <c r="F27" s="28"/>
      <c r="G27" s="28"/>
      <c r="H27" s="28"/>
      <c r="I27" s="29">
        <f t="shared" si="1"/>
        <v>0</v>
      </c>
      <c r="J27" s="59"/>
      <c r="K27" s="19"/>
      <c r="L27" s="19"/>
      <c r="M27" s="20"/>
    </row>
    <row r="28" spans="1:17" ht="14.25" customHeight="1">
      <c r="A28" s="15"/>
      <c r="B28" s="61" t="s">
        <v>21</v>
      </c>
      <c r="C28" s="28">
        <v>16389</v>
      </c>
      <c r="D28" s="28">
        <v>3749</v>
      </c>
      <c r="E28" s="76">
        <v>1086</v>
      </c>
      <c r="F28" s="28">
        <v>1006</v>
      </c>
      <c r="G28" s="28">
        <v>1176</v>
      </c>
      <c r="H28" s="28">
        <v>1030</v>
      </c>
      <c r="I28" s="29">
        <f t="shared" si="1"/>
        <v>24436</v>
      </c>
      <c r="J28" s="62">
        <v>8677.08</v>
      </c>
      <c r="K28" s="96"/>
      <c r="L28" s="96"/>
      <c r="M28" s="96"/>
      <c r="N28" s="96"/>
      <c r="O28" s="96"/>
      <c r="P28" s="96"/>
      <c r="Q28" s="96"/>
    </row>
    <row r="29" spans="1:17" ht="4.5" customHeight="1">
      <c r="A29" s="15"/>
      <c r="B29" s="36"/>
      <c r="C29" s="28"/>
      <c r="D29" s="28"/>
      <c r="E29" s="76"/>
      <c r="F29" s="69"/>
      <c r="G29" s="28"/>
      <c r="H29" s="28"/>
      <c r="I29" s="29"/>
      <c r="J29" s="62"/>
      <c r="K29" s="96"/>
      <c r="L29" s="96"/>
      <c r="M29" s="97"/>
      <c r="N29" s="96"/>
      <c r="O29" s="96"/>
      <c r="P29" s="96"/>
    </row>
    <row r="30" spans="1:17" ht="18.75" customHeight="1">
      <c r="A30" s="192" t="s">
        <v>22</v>
      </c>
      <c r="B30" s="192"/>
      <c r="C30" s="28"/>
      <c r="D30" s="28"/>
      <c r="E30" s="76"/>
      <c r="F30" s="69"/>
      <c r="G30" s="28"/>
      <c r="H30" s="28"/>
      <c r="I30" s="29">
        <f t="shared" si="1"/>
        <v>0</v>
      </c>
      <c r="J30" s="62"/>
      <c r="K30" s="98"/>
      <c r="L30" s="98"/>
      <c r="M30" s="98"/>
      <c r="N30" s="98"/>
      <c r="O30" s="98"/>
      <c r="P30" s="98"/>
    </row>
    <row r="31" spans="1:17" ht="11.25" customHeight="1">
      <c r="A31" s="21"/>
      <c r="B31" s="61" t="s">
        <v>23</v>
      </c>
      <c r="C31" s="22"/>
      <c r="D31" s="22"/>
      <c r="E31" s="79"/>
      <c r="F31" s="80"/>
      <c r="G31" s="22"/>
      <c r="H31" s="22"/>
      <c r="I31" s="29">
        <f t="shared" si="1"/>
        <v>0</v>
      </c>
      <c r="J31" s="62">
        <v>1264.74</v>
      </c>
      <c r="P31" s="19"/>
    </row>
    <row r="32" spans="1:17" ht="12.75" customHeight="1">
      <c r="A32" s="21"/>
      <c r="B32" s="61" t="s">
        <v>24</v>
      </c>
      <c r="C32" s="22">
        <v>10612</v>
      </c>
      <c r="D32" s="22">
        <v>1291</v>
      </c>
      <c r="E32" s="79">
        <v>616</v>
      </c>
      <c r="F32" s="80">
        <v>183</v>
      </c>
      <c r="G32" s="22">
        <v>748</v>
      </c>
      <c r="H32" s="22">
        <v>330</v>
      </c>
      <c r="I32" s="29">
        <f t="shared" si="1"/>
        <v>13780</v>
      </c>
      <c r="J32" s="62">
        <v>7193.51</v>
      </c>
      <c r="P32" s="92"/>
    </row>
    <row r="33" spans="1:11" ht="12.75" customHeight="1">
      <c r="A33" s="21"/>
      <c r="B33" s="61" t="s">
        <v>25</v>
      </c>
      <c r="C33" s="22"/>
      <c r="D33" s="22"/>
      <c r="E33" s="79"/>
      <c r="F33" s="80"/>
      <c r="G33" s="22"/>
      <c r="H33" s="22"/>
      <c r="I33" s="29">
        <f t="shared" si="1"/>
        <v>0</v>
      </c>
      <c r="J33" s="62"/>
    </row>
    <row r="34" spans="1:11" s="87" customFormat="1" ht="25.5" customHeight="1">
      <c r="A34" s="81"/>
      <c r="B34" s="82" t="s">
        <v>26</v>
      </c>
      <c r="C34" s="83"/>
      <c r="D34" s="83"/>
      <c r="E34" s="84"/>
      <c r="F34" s="85"/>
      <c r="G34" s="83"/>
      <c r="H34" s="83"/>
      <c r="I34" s="86">
        <f t="shared" si="1"/>
        <v>0</v>
      </c>
      <c r="J34" s="62"/>
    </row>
    <row r="35" spans="1:11" s="87" customFormat="1" ht="24" customHeight="1">
      <c r="A35" s="210" t="s">
        <v>27</v>
      </c>
      <c r="B35" s="210"/>
      <c r="C35" s="88"/>
      <c r="D35" s="88"/>
      <c r="E35" s="89"/>
      <c r="F35" s="90"/>
      <c r="G35" s="88"/>
      <c r="H35" s="88"/>
      <c r="I35" s="86">
        <f t="shared" si="1"/>
        <v>0</v>
      </c>
      <c r="J35" s="62"/>
    </row>
    <row r="36" spans="1:11" ht="12" customHeight="1">
      <c r="A36" s="192" t="s">
        <v>28</v>
      </c>
      <c r="B36" s="192"/>
      <c r="C36" s="28"/>
      <c r="D36" s="28"/>
      <c r="E36" s="76"/>
      <c r="F36" s="69"/>
      <c r="G36" s="28"/>
      <c r="H36" s="28"/>
      <c r="I36" s="29">
        <f t="shared" si="1"/>
        <v>0</v>
      </c>
      <c r="J36" s="62"/>
    </row>
    <row r="37" spans="1:11" ht="12" customHeight="1">
      <c r="A37" s="192" t="s">
        <v>29</v>
      </c>
      <c r="B37" s="192"/>
      <c r="C37" s="28"/>
      <c r="D37" s="28"/>
      <c r="E37" s="76"/>
      <c r="F37" s="69"/>
      <c r="G37" s="28"/>
      <c r="H37" s="28"/>
      <c r="I37" s="29">
        <f t="shared" si="1"/>
        <v>0</v>
      </c>
      <c r="J37" s="62"/>
    </row>
    <row r="38" spans="1:11" ht="12.75" customHeight="1">
      <c r="A38" s="192" t="s">
        <v>30</v>
      </c>
      <c r="B38" s="192"/>
      <c r="C38" s="28">
        <v>8228</v>
      </c>
      <c r="D38" s="12">
        <v>3314</v>
      </c>
      <c r="E38" s="76">
        <v>1582</v>
      </c>
      <c r="F38" s="69">
        <v>471</v>
      </c>
      <c r="G38" s="105">
        <v>1920</v>
      </c>
      <c r="H38" s="105">
        <v>828</v>
      </c>
      <c r="I38" s="29">
        <f t="shared" si="1"/>
        <v>16343</v>
      </c>
      <c r="J38" s="67">
        <v>20577.080000000002</v>
      </c>
      <c r="K38" s="11"/>
    </row>
    <row r="39" spans="1:11" ht="15.75" customHeight="1">
      <c r="A39" s="193" t="s">
        <v>31</v>
      </c>
      <c r="B39" s="193"/>
      <c r="C39" s="3">
        <f>SUM(C12:C38)</f>
        <v>1106667</v>
      </c>
      <c r="D39" s="1">
        <f t="shared" ref="D39:H39" si="2">SUM(D12:D38)</f>
        <v>324270</v>
      </c>
      <c r="E39" s="3">
        <f t="shared" si="2"/>
        <v>145054</v>
      </c>
      <c r="F39" s="107">
        <f t="shared" si="2"/>
        <v>107452</v>
      </c>
      <c r="G39" s="109">
        <f t="shared" si="2"/>
        <v>132746</v>
      </c>
      <c r="H39" s="3">
        <f t="shared" si="2"/>
        <v>156558</v>
      </c>
      <c r="I39" s="3">
        <f>SUM(I12:I38)</f>
        <v>1972747</v>
      </c>
      <c r="J39" s="5">
        <f>SUM(J12:J38)</f>
        <v>1791280.09</v>
      </c>
      <c r="K39" s="11"/>
    </row>
    <row r="40" spans="1:11" ht="16.5" customHeight="1">
      <c r="A40" s="193" t="s">
        <v>32</v>
      </c>
      <c r="B40" s="193"/>
      <c r="C40" s="3">
        <f>C10-C39</f>
        <v>129338.31000000006</v>
      </c>
      <c r="D40" s="1">
        <f t="shared" ref="D40:H40" si="3">D10-D39</f>
        <v>154882.5</v>
      </c>
      <c r="E40" s="3">
        <f t="shared" si="3"/>
        <v>84373.140000000014</v>
      </c>
      <c r="F40" s="107">
        <f t="shared" si="3"/>
        <v>-40116.770000000004</v>
      </c>
      <c r="G40" s="109">
        <f t="shared" si="3"/>
        <v>146662.5</v>
      </c>
      <c r="H40" s="3">
        <f t="shared" si="3"/>
        <v>-34569.42</v>
      </c>
      <c r="I40" s="29">
        <f>I10-I39</f>
        <v>440570.26000000024</v>
      </c>
      <c r="J40" s="5">
        <f>J10-J39</f>
        <v>-45787.680000000168</v>
      </c>
    </row>
    <row r="41" spans="1:11" ht="15.75" customHeight="1">
      <c r="A41" s="193" t="s">
        <v>33</v>
      </c>
      <c r="B41" s="193"/>
      <c r="C41" s="3"/>
      <c r="D41" s="1"/>
      <c r="E41" s="3"/>
      <c r="F41" s="107"/>
      <c r="G41" s="109"/>
      <c r="H41" s="3"/>
      <c r="I41" s="2"/>
      <c r="J41" s="37"/>
    </row>
    <row r="42" spans="1:11" ht="15.75" customHeight="1">
      <c r="A42" s="192" t="s">
        <v>34</v>
      </c>
      <c r="B42" s="192"/>
      <c r="C42" s="28"/>
      <c r="D42" s="69"/>
      <c r="E42" s="28"/>
      <c r="F42" s="69"/>
      <c r="G42" s="28"/>
      <c r="H42" s="28"/>
      <c r="I42" s="29">
        <f t="shared" ref="I42:I49" si="4">SUM(C42:H42)</f>
        <v>0</v>
      </c>
      <c r="J42" s="70"/>
    </row>
    <row r="43" spans="1:11" ht="13.5" customHeight="1">
      <c r="A43" s="192" t="s">
        <v>36</v>
      </c>
      <c r="B43" s="192"/>
      <c r="C43" s="28"/>
      <c r="D43" s="69"/>
      <c r="E43" s="28"/>
      <c r="F43" s="69"/>
      <c r="G43" s="28"/>
      <c r="H43" s="28"/>
      <c r="I43" s="29">
        <f t="shared" si="4"/>
        <v>0</v>
      </c>
      <c r="J43" s="59"/>
    </row>
    <row r="44" spans="1:11">
      <c r="A44" s="192" t="s">
        <v>37</v>
      </c>
      <c r="B44" s="192"/>
      <c r="C44" s="28"/>
      <c r="D44" s="69"/>
      <c r="E44" s="28"/>
      <c r="F44" s="69"/>
      <c r="G44" s="28"/>
      <c r="H44" s="28"/>
      <c r="I44" s="29">
        <f t="shared" si="4"/>
        <v>0</v>
      </c>
      <c r="J44" s="59"/>
    </row>
    <row r="45" spans="1:11" ht="11.25" customHeight="1">
      <c r="A45" s="15"/>
      <c r="B45" s="23" t="s">
        <v>38</v>
      </c>
      <c r="C45" s="46">
        <v>1608</v>
      </c>
      <c r="D45" s="71">
        <v>647</v>
      </c>
      <c r="E45" s="46">
        <v>309</v>
      </c>
      <c r="F45" s="71">
        <v>92</v>
      </c>
      <c r="G45" s="46">
        <v>375</v>
      </c>
      <c r="H45" s="46">
        <v>162</v>
      </c>
      <c r="I45" s="29">
        <f t="shared" si="4"/>
        <v>3193</v>
      </c>
      <c r="J45" s="62">
        <v>36373.75</v>
      </c>
    </row>
    <row r="46" spans="1:11" ht="12.75" customHeight="1">
      <c r="A46" s="15"/>
      <c r="B46" s="23" t="s">
        <v>39</v>
      </c>
      <c r="C46" s="46"/>
      <c r="D46" s="71"/>
      <c r="E46" s="46"/>
      <c r="F46" s="71"/>
      <c r="G46" s="46"/>
      <c r="H46" s="46"/>
      <c r="I46" s="29">
        <f t="shared" si="4"/>
        <v>0</v>
      </c>
      <c r="J46" s="62">
        <v>1906.25</v>
      </c>
    </row>
    <row r="47" spans="1:11" ht="11.25" customHeight="1">
      <c r="A47" s="15"/>
      <c r="B47" s="24" t="s">
        <v>35</v>
      </c>
      <c r="C47" s="28">
        <v>1441</v>
      </c>
      <c r="D47" s="69">
        <v>580</v>
      </c>
      <c r="E47" s="28">
        <v>277</v>
      </c>
      <c r="F47" s="69">
        <v>82</v>
      </c>
      <c r="G47" s="28">
        <v>336</v>
      </c>
      <c r="H47" s="28">
        <v>145</v>
      </c>
      <c r="I47" s="29">
        <f t="shared" si="4"/>
        <v>2861</v>
      </c>
      <c r="J47" s="62"/>
    </row>
    <row r="48" spans="1:11" ht="13.5" customHeight="1">
      <c r="A48" s="192" t="s">
        <v>40</v>
      </c>
      <c r="B48" s="192"/>
      <c r="C48" s="28"/>
      <c r="D48" s="69"/>
      <c r="E48" s="28"/>
      <c r="F48" s="69"/>
      <c r="G48" s="28"/>
      <c r="H48" s="28"/>
      <c r="I48" s="29">
        <f t="shared" si="4"/>
        <v>0</v>
      </c>
      <c r="J48" s="72"/>
    </row>
    <row r="49" spans="1:10">
      <c r="A49" s="193" t="s">
        <v>41</v>
      </c>
      <c r="B49" s="193"/>
      <c r="C49" s="3">
        <f>SUM(C44:C48)</f>
        <v>3049</v>
      </c>
      <c r="D49" s="3">
        <f t="shared" ref="D49:H49" si="5">SUM(D44:D48)</f>
        <v>1227</v>
      </c>
      <c r="E49" s="3">
        <f t="shared" si="5"/>
        <v>586</v>
      </c>
      <c r="F49" s="108">
        <f t="shared" si="5"/>
        <v>174</v>
      </c>
      <c r="G49" s="109">
        <f t="shared" si="5"/>
        <v>711</v>
      </c>
      <c r="H49" s="3">
        <f t="shared" si="5"/>
        <v>307</v>
      </c>
      <c r="I49" s="3">
        <f t="shared" si="4"/>
        <v>6054</v>
      </c>
      <c r="J49" s="7">
        <f>J45+J46</f>
        <v>38280</v>
      </c>
    </row>
    <row r="50" spans="1:10">
      <c r="A50" s="193" t="s">
        <v>42</v>
      </c>
      <c r="B50" s="193"/>
      <c r="C50" s="3"/>
      <c r="D50" s="1"/>
      <c r="E50" s="3"/>
      <c r="F50" s="107"/>
      <c r="G50" s="109"/>
      <c r="H50" s="3"/>
      <c r="I50" s="2"/>
      <c r="J50" s="37"/>
    </row>
    <row r="51" spans="1:10" ht="12.75" customHeight="1">
      <c r="A51" s="192" t="s">
        <v>43</v>
      </c>
      <c r="B51" s="192"/>
      <c r="C51" s="28"/>
      <c r="D51" s="69"/>
      <c r="E51" s="28"/>
      <c r="F51" s="69"/>
      <c r="G51" s="28"/>
      <c r="H51" s="28"/>
      <c r="I51" s="29">
        <v>0</v>
      </c>
      <c r="J51" s="70"/>
    </row>
    <row r="52" spans="1:10" ht="12" customHeight="1">
      <c r="A52" s="192" t="s">
        <v>44</v>
      </c>
      <c r="B52" s="192"/>
      <c r="C52" s="28"/>
      <c r="D52" s="69"/>
      <c r="E52" s="28"/>
      <c r="F52" s="69"/>
      <c r="G52" s="28"/>
      <c r="H52" s="28"/>
      <c r="I52" s="29">
        <v>0</v>
      </c>
      <c r="J52" s="72"/>
    </row>
    <row r="53" spans="1:10">
      <c r="A53" s="193" t="s">
        <v>45</v>
      </c>
      <c r="B53" s="193"/>
      <c r="C53" s="3"/>
      <c r="D53" s="1"/>
      <c r="E53" s="3"/>
      <c r="F53" s="107"/>
      <c r="G53" s="109"/>
      <c r="H53" s="3"/>
      <c r="I53" s="2">
        <v>0</v>
      </c>
      <c r="J53" s="73"/>
    </row>
    <row r="54" spans="1:10">
      <c r="A54" s="193" t="s">
        <v>46</v>
      </c>
      <c r="B54" s="193"/>
      <c r="C54" s="2">
        <f t="shared" ref="C54:H54" si="6">C40-C49</f>
        <v>126289.31000000006</v>
      </c>
      <c r="D54" s="2">
        <f t="shared" si="6"/>
        <v>153655.5</v>
      </c>
      <c r="E54" s="2">
        <f t="shared" si="6"/>
        <v>83787.140000000014</v>
      </c>
      <c r="F54" s="107">
        <f t="shared" si="6"/>
        <v>-40290.770000000004</v>
      </c>
      <c r="G54" s="109">
        <f t="shared" si="6"/>
        <v>145951.5</v>
      </c>
      <c r="H54" s="2">
        <f t="shared" si="6"/>
        <v>-34876.42</v>
      </c>
      <c r="I54" s="2">
        <f>I40-I49</f>
        <v>434516.26000000024</v>
      </c>
      <c r="J54" s="5">
        <f>J40-J49</f>
        <v>-84067.680000000168</v>
      </c>
    </row>
    <row r="55" spans="1:10" ht="23.25" customHeight="1">
      <c r="A55" s="190" t="s">
        <v>47</v>
      </c>
      <c r="B55" s="191"/>
      <c r="C55" s="33"/>
      <c r="D55" s="74"/>
      <c r="E55" s="33"/>
      <c r="F55" s="74"/>
      <c r="G55" s="106"/>
      <c r="H55" s="33"/>
      <c r="I55" s="53">
        <v>0</v>
      </c>
      <c r="J55" s="70"/>
    </row>
    <row r="56" spans="1:10" ht="10.5" hidden="1" customHeight="1">
      <c r="A56" s="15"/>
      <c r="B56" s="25" t="s">
        <v>48</v>
      </c>
      <c r="C56" s="28"/>
      <c r="D56" s="69"/>
      <c r="E56" s="28"/>
      <c r="F56" s="69"/>
      <c r="G56" s="28"/>
      <c r="H56" s="28"/>
      <c r="I56" s="29">
        <v>0</v>
      </c>
      <c r="J56" s="72"/>
    </row>
    <row r="57" spans="1:10">
      <c r="A57" s="193" t="s">
        <v>49</v>
      </c>
      <c r="B57" s="193"/>
      <c r="C57" s="3">
        <f>C54</f>
        <v>126289.31000000006</v>
      </c>
      <c r="D57" s="3">
        <f t="shared" ref="D57:I57" si="7">D54</f>
        <v>153655.5</v>
      </c>
      <c r="E57" s="3">
        <f t="shared" si="7"/>
        <v>83787.140000000014</v>
      </c>
      <c r="F57" s="108">
        <f t="shared" si="7"/>
        <v>-40290.770000000004</v>
      </c>
      <c r="G57" s="109">
        <f t="shared" si="7"/>
        <v>145951.5</v>
      </c>
      <c r="H57" s="3">
        <f t="shared" si="7"/>
        <v>-34876.42</v>
      </c>
      <c r="I57" s="3">
        <f t="shared" si="7"/>
        <v>434516.26000000024</v>
      </c>
      <c r="J57" s="5">
        <f>J54</f>
        <v>-84067.680000000168</v>
      </c>
    </row>
    <row r="58" spans="1:10">
      <c r="A58" s="75"/>
      <c r="B58" s="75"/>
      <c r="J58" s="37"/>
    </row>
    <row r="59" spans="1:10">
      <c r="A59" s="75"/>
      <c r="B59" s="75"/>
      <c r="C59" s="11"/>
      <c r="D59" s="11"/>
      <c r="E59" s="11"/>
      <c r="F59" s="11"/>
      <c r="G59" s="11"/>
      <c r="H59" s="11"/>
      <c r="I59" s="11"/>
      <c r="J59" s="37"/>
    </row>
  </sheetData>
  <mergeCells count="41">
    <mergeCell ref="J4:J5"/>
    <mergeCell ref="C4:C6"/>
    <mergeCell ref="D4:D6"/>
    <mergeCell ref="E4:E6"/>
    <mergeCell ref="G4:G6"/>
    <mergeCell ref="H4:H6"/>
    <mergeCell ref="A55:B55"/>
    <mergeCell ref="A57:B57"/>
    <mergeCell ref="A50:B50"/>
    <mergeCell ref="A51:B51"/>
    <mergeCell ref="A52:B52"/>
    <mergeCell ref="A53:B53"/>
    <mergeCell ref="A54:B54"/>
    <mergeCell ref="A42:B42"/>
    <mergeCell ref="A43:B43"/>
    <mergeCell ref="A44:B44"/>
    <mergeCell ref="A48:B48"/>
    <mergeCell ref="A49:B49"/>
    <mergeCell ref="A37:B37"/>
    <mergeCell ref="A38:B38"/>
    <mergeCell ref="A39:B39"/>
    <mergeCell ref="A40:B40"/>
    <mergeCell ref="A41:B41"/>
    <mergeCell ref="A22:B22"/>
    <mergeCell ref="A23:B23"/>
    <mergeCell ref="A30:B30"/>
    <mergeCell ref="A35:B35"/>
    <mergeCell ref="A36:B36"/>
    <mergeCell ref="A8:B8"/>
    <mergeCell ref="A10:B10"/>
    <mergeCell ref="A11:B11"/>
    <mergeCell ref="A12:B12"/>
    <mergeCell ref="A13:B13"/>
    <mergeCell ref="A6:B6"/>
    <mergeCell ref="A7:B7"/>
    <mergeCell ref="C1:I1"/>
    <mergeCell ref="C3:I3"/>
    <mergeCell ref="A4:B5"/>
    <mergeCell ref="I4:I6"/>
    <mergeCell ref="F4:F6"/>
    <mergeCell ref="C2:I2"/>
  </mergeCells>
  <pageMargins left="0.55118110236220474" right="0.19685039370078741" top="0.15748031496062992" bottom="0.19685039370078741" header="0.19685039370078741" footer="0.19685039370078741"/>
  <pageSetup paperSize="9" scale="7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0</xdr:col>
                <xdr:colOff>144780</xdr:colOff>
                <xdr:row>0</xdr:row>
                <xdr:rowOff>60960</xdr:rowOff>
              </from>
              <to>
                <xdr:col>1</xdr:col>
                <xdr:colOff>685800</xdr:colOff>
                <xdr:row>2</xdr:row>
                <xdr:rowOff>167640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076FE-D80E-4824-8A7C-B9BE184DC9AE}">
  <dimension ref="A1:I67"/>
  <sheetViews>
    <sheetView tabSelected="1" workbookViewId="0">
      <selection activeCell="G13" sqref="G13"/>
    </sheetView>
  </sheetViews>
  <sheetFormatPr defaultColWidth="9.109375" defaultRowHeight="14.4"/>
  <cols>
    <col min="1" max="1" width="0.6640625" style="10" customWidth="1"/>
    <col min="2" max="2" width="3.88671875" style="10" customWidth="1"/>
    <col min="3" max="3" width="65.88671875" style="10" customWidth="1"/>
    <col min="4" max="4" width="30.44140625" style="10" customWidth="1"/>
    <col min="5" max="5" width="12" style="10" customWidth="1"/>
    <col min="6" max="6" width="9.109375" style="10"/>
    <col min="7" max="7" width="30" style="157" bestFit="1" customWidth="1"/>
    <col min="8" max="8" width="9.109375" style="10"/>
    <col min="9" max="9" width="10.6640625" style="10" customWidth="1"/>
    <col min="10" max="16384" width="9.109375" style="10"/>
  </cols>
  <sheetData>
    <row r="1" spans="2:9" ht="23.4" customHeight="1">
      <c r="B1" s="135"/>
      <c r="C1" s="103"/>
      <c r="D1" s="228" t="s">
        <v>50</v>
      </c>
    </row>
    <row r="2" spans="2:9" ht="24.6" customHeight="1">
      <c r="B2" s="99"/>
      <c r="C2" s="134"/>
      <c r="D2" s="228"/>
    </row>
    <row r="3" spans="2:9" ht="15" customHeight="1">
      <c r="B3" s="135"/>
      <c r="C3" s="229"/>
      <c r="D3" s="201" t="s">
        <v>87</v>
      </c>
    </row>
    <row r="4" spans="2:9" ht="6" customHeight="1">
      <c r="B4" s="136"/>
      <c r="C4" s="230"/>
      <c r="D4" s="201"/>
    </row>
    <row r="5" spans="2:9" ht="15" customHeight="1">
      <c r="B5" s="215" t="s">
        <v>1</v>
      </c>
      <c r="C5" s="215"/>
      <c r="D5" s="28"/>
    </row>
    <row r="6" spans="2:9">
      <c r="B6" s="216" t="s">
        <v>2</v>
      </c>
      <c r="C6" s="217"/>
      <c r="D6" s="137">
        <f>'spazzamento e verde pubblico'!G7+'spazzamento e verde pubblico'!F7+'racconta differenz. e impianti'!H7+pulizia!I7</f>
        <v>27367403.010000002</v>
      </c>
      <c r="I6" s="11"/>
    </row>
    <row r="7" spans="2:9" ht="14.25" customHeight="1">
      <c r="B7" s="218" t="s">
        <v>78</v>
      </c>
      <c r="C7" s="219"/>
      <c r="D7" s="138"/>
      <c r="I7" s="11"/>
    </row>
    <row r="8" spans="2:9" ht="11.25" customHeight="1">
      <c r="B8" s="194" t="s">
        <v>3</v>
      </c>
      <c r="C8" s="220"/>
      <c r="D8" s="138">
        <f>'spazzamento e verde pubblico'!F9+'racconta differenz. e impianti'!H9+pulizia!I9</f>
        <v>2182548.1800000002</v>
      </c>
      <c r="I8" s="11"/>
    </row>
    <row r="9" spans="2:9" ht="13.5" customHeight="1">
      <c r="B9" s="221" t="s">
        <v>79</v>
      </c>
      <c r="C9" s="222"/>
      <c r="D9" s="139">
        <f>2511045.99-D8</f>
        <v>328497.81000000006</v>
      </c>
      <c r="I9" s="11"/>
    </row>
    <row r="10" spans="2:9" ht="14.25" customHeight="1">
      <c r="B10" s="223" t="s">
        <v>5</v>
      </c>
      <c r="C10" s="223"/>
      <c r="D10" s="140">
        <f>SUM(D6:D9)</f>
        <v>29878449</v>
      </c>
      <c r="E10" s="11"/>
      <c r="I10" s="11"/>
    </row>
    <row r="11" spans="2:9" ht="10.5" customHeight="1">
      <c r="B11" s="223" t="s">
        <v>6</v>
      </c>
      <c r="C11" s="223"/>
      <c r="D11" s="141"/>
      <c r="E11" s="11"/>
      <c r="I11" s="11"/>
    </row>
    <row r="12" spans="2:9" ht="11.25" customHeight="1">
      <c r="B12" s="194" t="s">
        <v>7</v>
      </c>
      <c r="C12" s="220"/>
      <c r="D12" s="137">
        <f>'spazzamento e verde pubblico'!F12+'spazzamento e verde pubblico'!G12+'racconta differenz. e impianti'!H12+pulizia!I12</f>
        <v>1581349</v>
      </c>
      <c r="E12" s="92"/>
      <c r="I12" s="11"/>
    </row>
    <row r="13" spans="2:9" ht="11.25" customHeight="1">
      <c r="B13" s="194" t="s">
        <v>8</v>
      </c>
      <c r="C13" s="220"/>
      <c r="D13" s="138"/>
      <c r="I13" s="11"/>
    </row>
    <row r="14" spans="2:9" ht="9" customHeight="1">
      <c r="B14" s="16"/>
      <c r="C14" s="17" t="s">
        <v>9</v>
      </c>
      <c r="D14" s="18"/>
      <c r="I14" s="11"/>
    </row>
    <row r="15" spans="2:9" ht="11.25" customHeight="1">
      <c r="B15" s="16"/>
      <c r="C15" s="142" t="s">
        <v>51</v>
      </c>
      <c r="D15" s="137">
        <f>'spazzamento e verde pubblico'!F15+'spazzamento e verde pubblico'!G15+'racconta differenz. e impianti'!H15+pulizia!I15</f>
        <v>1270965</v>
      </c>
      <c r="I15" s="11"/>
    </row>
    <row r="16" spans="2:9" ht="11.25" customHeight="1">
      <c r="B16" s="16"/>
      <c r="C16" s="17" t="s">
        <v>10</v>
      </c>
      <c r="D16" s="137">
        <f>'spazzamento e verde pubblico'!F16+'spazzamento e verde pubblico'!G16+'racconta differenz. e impianti'!H16+pulizia!I16</f>
        <v>284742</v>
      </c>
      <c r="I16" s="11"/>
    </row>
    <row r="17" spans="2:9" ht="11.25" customHeight="1">
      <c r="B17" s="16"/>
      <c r="C17" s="17" t="s">
        <v>11</v>
      </c>
      <c r="D17" s="138"/>
      <c r="I17" s="11"/>
    </row>
    <row r="18" spans="2:9" ht="12" customHeight="1">
      <c r="B18" s="16"/>
      <c r="C18" s="17" t="s">
        <v>12</v>
      </c>
      <c r="D18" s="138"/>
      <c r="I18" s="11"/>
    </row>
    <row r="19" spans="2:9" ht="9.75" customHeight="1">
      <c r="B19" s="16"/>
      <c r="C19" s="17" t="s">
        <v>13</v>
      </c>
      <c r="D19" s="138"/>
      <c r="I19" s="11"/>
    </row>
    <row r="20" spans="2:9" ht="12.75" customHeight="1">
      <c r="B20" s="16"/>
      <c r="C20" s="17" t="s">
        <v>80</v>
      </c>
      <c r="D20" s="137">
        <f>'spazzamento e verde pubblico'!F20+'spazzamento e verde pubblico'!G20+'racconta differenz. e impianti'!H20+pulizia!I20</f>
        <v>263796</v>
      </c>
      <c r="I20" s="11"/>
    </row>
    <row r="21" spans="2:9" ht="12.75" customHeight="1">
      <c r="B21" s="16"/>
      <c r="C21" s="17" t="s">
        <v>14</v>
      </c>
      <c r="D21" s="137">
        <f>'spazzamento e verde pubblico'!F21+'spazzamento e verde pubblico'!G21+'racconta differenz. e impianti'!H21+pulizia!I21</f>
        <v>3960385</v>
      </c>
      <c r="I21" s="11"/>
    </row>
    <row r="22" spans="2:9" ht="11.25" customHeight="1">
      <c r="B22" s="192" t="s">
        <v>15</v>
      </c>
      <c r="C22" s="214"/>
      <c r="D22" s="137">
        <f>'spazzamento e verde pubblico'!F22+'spazzamento e verde pubblico'!G22+'racconta differenz. e impianti'!H22+pulizia!I22</f>
        <v>1621291</v>
      </c>
      <c r="E22" s="11"/>
      <c r="I22" s="11"/>
    </row>
    <row r="23" spans="2:9" ht="12.75" customHeight="1">
      <c r="B23" s="192" t="s">
        <v>16</v>
      </c>
      <c r="C23" s="214"/>
      <c r="D23" s="138"/>
      <c r="I23" s="11"/>
    </row>
    <row r="24" spans="2:9" ht="11.25" customHeight="1">
      <c r="B24" s="15"/>
      <c r="C24" s="143" t="s">
        <v>17</v>
      </c>
      <c r="D24" s="137">
        <f>'spazzamento e verde pubblico'!F24+'spazzamento e verde pubblico'!G24+'racconta differenz. e impianti'!H24+pulizia!I24</f>
        <v>13857943</v>
      </c>
      <c r="E24" s="11"/>
      <c r="I24" s="11"/>
    </row>
    <row r="25" spans="2:9" ht="10.5" customHeight="1">
      <c r="B25" s="15"/>
      <c r="C25" s="143" t="s">
        <v>18</v>
      </c>
      <c r="D25" s="137">
        <f>'spazzamento e verde pubblico'!F25+'spazzamento e verde pubblico'!G25+'racconta differenz. e impianti'!H25+pulizia!I25</f>
        <v>3525552</v>
      </c>
      <c r="E25" s="11"/>
      <c r="F25" s="11"/>
      <c r="I25" s="11"/>
    </row>
    <row r="26" spans="2:9" ht="12" customHeight="1">
      <c r="B26" s="15"/>
      <c r="C26" s="143" t="s">
        <v>19</v>
      </c>
      <c r="D26" s="137">
        <f>'spazzamento e verde pubblico'!F26+'spazzamento e verde pubblico'!G26+'racconta differenz. e impianti'!H26+pulizia!I26</f>
        <v>1013015</v>
      </c>
      <c r="E26" s="11"/>
      <c r="I26" s="11"/>
    </row>
    <row r="27" spans="2:9" ht="12" customHeight="1">
      <c r="B27" s="15"/>
      <c r="C27" s="143" t="s">
        <v>20</v>
      </c>
      <c r="D27" s="137">
        <f>'spazzamento e verde pubblico'!F27+'spazzamento e verde pubblico'!G27+'racconta differenz. e impianti'!H27+pulizia!I27</f>
        <v>0</v>
      </c>
      <c r="I27" s="11"/>
    </row>
    <row r="28" spans="2:9" ht="9.75" customHeight="1">
      <c r="B28" s="15"/>
      <c r="C28" s="143" t="s">
        <v>21</v>
      </c>
      <c r="D28" s="137">
        <f>'spazzamento e verde pubblico'!F28+'spazzamento e verde pubblico'!G28+'racconta differenz. e impianti'!H28+pulizia!I28</f>
        <v>1004164</v>
      </c>
      <c r="E28" s="11"/>
      <c r="I28" s="11"/>
    </row>
    <row r="29" spans="2:9" ht="3" hidden="1" customHeight="1">
      <c r="B29" s="15"/>
      <c r="C29" s="143"/>
      <c r="D29" s="138"/>
      <c r="I29" s="11"/>
    </row>
    <row r="30" spans="2:9" ht="11.25" customHeight="1">
      <c r="B30" s="15"/>
      <c r="C30" s="144" t="s">
        <v>81</v>
      </c>
      <c r="D30" s="137">
        <f>SUM(D24:D28)</f>
        <v>19400674</v>
      </c>
      <c r="E30" s="11"/>
      <c r="I30" s="11"/>
    </row>
    <row r="31" spans="2:9" ht="10.5" customHeight="1">
      <c r="B31" s="192" t="s">
        <v>22</v>
      </c>
      <c r="C31" s="214"/>
      <c r="D31" s="138"/>
      <c r="I31" s="11"/>
    </row>
    <row r="32" spans="2:9" ht="10.5" customHeight="1">
      <c r="B32" s="21"/>
      <c r="C32" s="143" t="s">
        <v>23</v>
      </c>
      <c r="D32" s="138">
        <f>'racconta differenz. e impianti'!H31</f>
        <v>65355.59</v>
      </c>
      <c r="I32" s="11"/>
    </row>
    <row r="33" spans="1:9" ht="11.25" customHeight="1">
      <c r="B33" s="21"/>
      <c r="C33" s="143" t="s">
        <v>24</v>
      </c>
      <c r="D33" s="138">
        <f>'spazzamento e verde pubblico'!F32+'spazzamento e verde pubblico'!G32+'racconta differenz. e impianti'!H32+pulizia!I32</f>
        <v>824057</v>
      </c>
      <c r="I33" s="11"/>
    </row>
    <row r="34" spans="1:9" ht="10.5" hidden="1" customHeight="1">
      <c r="B34" s="21"/>
      <c r="C34" s="143" t="s">
        <v>25</v>
      </c>
      <c r="D34" s="138"/>
      <c r="I34" s="11"/>
    </row>
    <row r="35" spans="1:9" ht="10.5" hidden="1" customHeight="1">
      <c r="B35" s="21"/>
      <c r="C35" s="145" t="s">
        <v>82</v>
      </c>
      <c r="D35" s="138"/>
      <c r="I35" s="11"/>
    </row>
    <row r="36" spans="1:9" ht="10.5" customHeight="1">
      <c r="B36" s="192" t="s">
        <v>27</v>
      </c>
      <c r="C36" s="214"/>
      <c r="D36" s="138">
        <v>-9316</v>
      </c>
      <c r="I36" s="11"/>
    </row>
    <row r="37" spans="1:9" ht="11.25" customHeight="1">
      <c r="B37" s="192" t="s">
        <v>28</v>
      </c>
      <c r="C37" s="214"/>
      <c r="D37" s="138">
        <f>'[1]Raccolta diff e impianti (2)'!H35</f>
        <v>0</v>
      </c>
      <c r="I37" s="11"/>
    </row>
    <row r="38" spans="1:9" ht="9.75" customHeight="1">
      <c r="A38" s="146"/>
      <c r="B38" s="224" t="s">
        <v>29</v>
      </c>
      <c r="C38" s="225"/>
      <c r="D38" s="147">
        <v>0</v>
      </c>
      <c r="I38" s="11"/>
    </row>
    <row r="39" spans="1:9" ht="12.75" customHeight="1">
      <c r="B39" s="192" t="s">
        <v>30</v>
      </c>
      <c r="C39" s="214"/>
      <c r="D39" s="139">
        <f>'spazzamento e verde pubblico'!F38+'spazzamento e verde pubblico'!G38+'racconta differenz. e impianti'!H38+pulizia!I38-1</f>
        <v>359354</v>
      </c>
      <c r="E39" s="11"/>
      <c r="I39" s="11"/>
    </row>
    <row r="40" spans="1:9" ht="11.25" customHeight="1">
      <c r="B40" s="223" t="s">
        <v>31</v>
      </c>
      <c r="C40" s="223"/>
      <c r="D40" s="140">
        <f>D12+D15+D16+D17+D18+D20+D19+D21+D22+D30+D31+D32+D33+D34+D35+D36+D37+D38+D39</f>
        <v>29622652.59</v>
      </c>
      <c r="I40" s="11"/>
    </row>
    <row r="41" spans="1:9" ht="11.25" customHeight="1">
      <c r="B41" s="223" t="s">
        <v>32</v>
      </c>
      <c r="C41" s="223"/>
      <c r="D41" s="148">
        <f>D10-D40</f>
        <v>255796.41000000015</v>
      </c>
      <c r="I41" s="11"/>
    </row>
    <row r="42" spans="1:9" ht="11.25" customHeight="1">
      <c r="B42" s="223" t="s">
        <v>33</v>
      </c>
      <c r="C42" s="223"/>
      <c r="D42" s="148"/>
      <c r="E42" s="11"/>
      <c r="I42" s="11"/>
    </row>
    <row r="43" spans="1:9" ht="12" customHeight="1">
      <c r="B43" s="192" t="s">
        <v>34</v>
      </c>
      <c r="C43" s="192"/>
      <c r="D43" s="138"/>
      <c r="I43" s="11"/>
    </row>
    <row r="44" spans="1:9" ht="11.25" customHeight="1">
      <c r="B44" s="192" t="s">
        <v>83</v>
      </c>
      <c r="C44" s="192"/>
      <c r="D44" s="138">
        <v>2119</v>
      </c>
      <c r="I44" s="11"/>
    </row>
    <row r="45" spans="1:9" ht="12.75" customHeight="1">
      <c r="B45" s="192" t="s">
        <v>37</v>
      </c>
      <c r="C45" s="192"/>
      <c r="D45" s="138"/>
      <c r="I45" s="11"/>
    </row>
    <row r="46" spans="1:9" ht="10.5" customHeight="1">
      <c r="B46" s="15"/>
      <c r="C46" s="23" t="s">
        <v>38</v>
      </c>
      <c r="D46" s="138">
        <v>36788</v>
      </c>
      <c r="I46" s="11"/>
    </row>
    <row r="47" spans="1:9" ht="12" customHeight="1">
      <c r="B47" s="15"/>
      <c r="C47" s="23" t="s">
        <v>39</v>
      </c>
      <c r="D47" s="138">
        <v>38885</v>
      </c>
      <c r="I47" s="11"/>
    </row>
    <row r="48" spans="1:9" ht="12" customHeight="1">
      <c r="B48" s="15"/>
      <c r="C48" s="24" t="s">
        <v>35</v>
      </c>
      <c r="D48" s="138">
        <v>32972</v>
      </c>
      <c r="I48" s="11"/>
    </row>
    <row r="49" spans="1:9" ht="8.25" hidden="1" customHeight="1">
      <c r="B49" s="192" t="s">
        <v>40</v>
      </c>
      <c r="C49" s="192"/>
      <c r="D49" s="138"/>
      <c r="I49" s="11"/>
    </row>
    <row r="50" spans="1:9" ht="9.75" customHeight="1">
      <c r="B50" s="223" t="s">
        <v>41</v>
      </c>
      <c r="C50" s="223"/>
      <c r="D50" s="148">
        <f>D46+D47-D44+D48</f>
        <v>106526</v>
      </c>
      <c r="I50" s="11"/>
    </row>
    <row r="51" spans="1:9" ht="12" customHeight="1">
      <c r="B51" s="223" t="s">
        <v>42</v>
      </c>
      <c r="C51" s="223"/>
      <c r="D51" s="148"/>
      <c r="I51" s="11"/>
    </row>
    <row r="52" spans="1:9" ht="13.5" customHeight="1">
      <c r="B52" s="192" t="s">
        <v>43</v>
      </c>
      <c r="C52" s="192"/>
      <c r="D52" s="138"/>
      <c r="I52" s="11"/>
    </row>
    <row r="53" spans="1:9" ht="14.25" customHeight="1">
      <c r="B53" s="192" t="s">
        <v>44</v>
      </c>
      <c r="C53" s="192"/>
      <c r="D53" s="138"/>
      <c r="I53" s="11"/>
    </row>
    <row r="54" spans="1:9" ht="9" customHeight="1">
      <c r="B54" s="223" t="s">
        <v>45</v>
      </c>
      <c r="C54" s="223"/>
      <c r="D54" s="149"/>
      <c r="I54" s="11"/>
    </row>
    <row r="55" spans="1:9">
      <c r="B55" s="223" t="s">
        <v>46</v>
      </c>
      <c r="C55" s="223"/>
      <c r="D55" s="149">
        <f>D41-D50</f>
        <v>149270.41000000015</v>
      </c>
      <c r="I55" s="11"/>
    </row>
    <row r="56" spans="1:9" ht="14.25" customHeight="1">
      <c r="B56" s="226" t="s">
        <v>47</v>
      </c>
      <c r="C56" s="227"/>
      <c r="D56" s="137"/>
      <c r="I56" s="11"/>
    </row>
    <row r="57" spans="1:9" ht="12.75" customHeight="1">
      <c r="A57" s="150"/>
      <c r="B57" s="151" t="s">
        <v>84</v>
      </c>
      <c r="C57" s="152" t="s">
        <v>48</v>
      </c>
      <c r="D57" s="147">
        <v>71245</v>
      </c>
      <c r="I57" s="11"/>
    </row>
    <row r="58" spans="1:9" ht="12.75" customHeight="1">
      <c r="A58" s="150"/>
      <c r="B58" s="151" t="s">
        <v>84</v>
      </c>
      <c r="C58" s="152" t="s">
        <v>85</v>
      </c>
      <c r="D58" s="147">
        <v>51557</v>
      </c>
      <c r="I58" s="11"/>
    </row>
    <row r="59" spans="1:9">
      <c r="B59" s="223" t="s">
        <v>49</v>
      </c>
      <c r="C59" s="223"/>
      <c r="D59" s="148">
        <f>D55-D57-D58</f>
        <v>26468.410000000149</v>
      </c>
      <c r="I59" s="11"/>
    </row>
    <row r="60" spans="1:9">
      <c r="D60" s="19"/>
    </row>
    <row r="61" spans="1:9">
      <c r="B61" s="153" t="s">
        <v>86</v>
      </c>
      <c r="D61" s="154"/>
    </row>
    <row r="62" spans="1:9">
      <c r="B62" s="155"/>
    </row>
    <row r="63" spans="1:9">
      <c r="B63" s="155"/>
      <c r="D63" s="11"/>
    </row>
    <row r="65" spans="4:4">
      <c r="D65" s="156"/>
    </row>
    <row r="66" spans="4:4">
      <c r="D66" s="11"/>
    </row>
    <row r="67" spans="4:4">
      <c r="D67" s="11"/>
    </row>
  </sheetData>
  <mergeCells count="33">
    <mergeCell ref="D1:D2"/>
    <mergeCell ref="B56:C56"/>
    <mergeCell ref="B59:C59"/>
    <mergeCell ref="B50:C50"/>
    <mergeCell ref="B51:C51"/>
    <mergeCell ref="B52:C52"/>
    <mergeCell ref="B53:C53"/>
    <mergeCell ref="B54:C54"/>
    <mergeCell ref="B55:C55"/>
    <mergeCell ref="B49:C49"/>
    <mergeCell ref="B31:C31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23:C23"/>
    <mergeCell ref="D3:D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22:C22"/>
  </mergeCells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2</xdr:col>
                <xdr:colOff>396240</xdr:colOff>
                <xdr:row>0</xdr:row>
                <xdr:rowOff>76200</xdr:rowOff>
              </from>
              <to>
                <xdr:col>2</xdr:col>
                <xdr:colOff>1226820</xdr:colOff>
                <xdr:row>1</xdr:row>
                <xdr:rowOff>289560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spazzamento e verde pubblico</vt:lpstr>
      <vt:lpstr>racconta differenz. e impianti</vt:lpstr>
      <vt:lpstr>pulizia</vt:lpstr>
      <vt:lpstr>totale conto economico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carmelafabiano</dc:creator>
  <cp:lastModifiedBy>UTENTE</cp:lastModifiedBy>
  <cp:lastPrinted>2025-04-05T07:33:04Z</cp:lastPrinted>
  <dcterms:created xsi:type="dcterms:W3CDTF">2019-04-23T10:59:13Z</dcterms:created>
  <dcterms:modified xsi:type="dcterms:W3CDTF">2025-07-01T14:13:24Z</dcterms:modified>
</cp:coreProperties>
</file>